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autoCompressPictures="0"/>
  <mc:AlternateContent xmlns:mc="http://schemas.openxmlformats.org/markup-compatibility/2006">
    <mc:Choice Requires="x15">
      <x15ac:absPath xmlns:x15ac="http://schemas.microsoft.com/office/spreadsheetml/2010/11/ac" url="https://pletronics.sharepoint.com/sites/Engineering/Shared Documents/General/Compliance Info (CMRT-FMD-Etc...)/CMRT-EMRT-AMRT/"/>
    </mc:Choice>
  </mc:AlternateContent>
  <xr:revisionPtr revIDLastSave="0" documentId="8_{CB5EE571-585A-4850-A30E-F2CC6945AB7A}"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05" yWindow="1275" windowWidth="28695" windowHeight="14925"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25" i="5" l="1"/>
  <c r="T42" i="5"/>
  <c r="T132" i="5"/>
  <c r="T137" i="5"/>
  <c r="T155"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AB20" i="5"/>
  <c r="AB21" i="5"/>
  <c r="AB23" i="5"/>
  <c r="AB29" i="5"/>
  <c r="AB34" i="5"/>
  <c r="AB36" i="5"/>
  <c r="AB37" i="5"/>
  <c r="AB40" i="5"/>
  <c r="AB43" i="5"/>
  <c r="AB44" i="5"/>
  <c r="AB46" i="5"/>
  <c r="AB48" i="5"/>
  <c r="AB50" i="5"/>
  <c r="AB52" i="5"/>
  <c r="AB54" i="5"/>
  <c r="AB56" i="5"/>
  <c r="AB58" i="5"/>
  <c r="AB60" i="5"/>
  <c r="AB62" i="5"/>
  <c r="AB63" i="5"/>
  <c r="AB64" i="5"/>
  <c r="AB66" i="5"/>
  <c r="AB68" i="5"/>
  <c r="AB70" i="5"/>
  <c r="AB71" i="5"/>
  <c r="AB72" i="5"/>
  <c r="AB74" i="5"/>
  <c r="AB76" i="5"/>
  <c r="AB78" i="5"/>
  <c r="AB79" i="5"/>
  <c r="AB80" i="5"/>
  <c r="AB82" i="5"/>
  <c r="AB84" i="5"/>
  <c r="AB86" i="5"/>
  <c r="AB87" i="5"/>
  <c r="AB88" i="5"/>
  <c r="AB90" i="5"/>
  <c r="AB91" i="5"/>
  <c r="AB92" i="5"/>
  <c r="AB96" i="5"/>
  <c r="AB98" i="5"/>
  <c r="AB100" i="5"/>
  <c r="AB101" i="5"/>
  <c r="AB104" i="5"/>
  <c r="AB107" i="5"/>
  <c r="AB109" i="5"/>
  <c r="AB115" i="5"/>
  <c r="AB117" i="5"/>
  <c r="AB120" i="5"/>
  <c r="AB133" i="5"/>
  <c r="AB136" i="5"/>
  <c r="AB139" i="5"/>
  <c r="AB141" i="5"/>
  <c r="AB148" i="5"/>
  <c r="AB149" i="5"/>
  <c r="AB151" i="5"/>
  <c r="AB152"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V6" i="5"/>
  <c r="V7"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F69" i="6" s="1"/>
  <c r="C69" i="6" s="1"/>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9" i="5"/>
  <c r="X9" i="5"/>
  <c r="V10" i="5"/>
  <c r="X10" i="5"/>
  <c r="V11" i="5"/>
  <c r="R11" i="5" s="1"/>
  <c r="X11" i="5"/>
  <c r="V12" i="5"/>
  <c r="X12" i="5"/>
  <c r="V13" i="5"/>
  <c r="X13" i="5"/>
  <c r="V14" i="5"/>
  <c r="X14" i="5"/>
  <c r="V15" i="5"/>
  <c r="X15" i="5"/>
  <c r="V16" i="5"/>
  <c r="X16" i="5"/>
  <c r="V17" i="5"/>
  <c r="X17" i="5"/>
  <c r="V18" i="5"/>
  <c r="X18" i="5"/>
  <c r="V19" i="5"/>
  <c r="V20" i="5"/>
  <c r="X20" i="5"/>
  <c r="V21" i="5"/>
  <c r="R21" i="5" s="1"/>
  <c r="X21" i="5"/>
  <c r="V22" i="5"/>
  <c r="X22" i="5"/>
  <c r="V23" i="5"/>
  <c r="X23" i="5"/>
  <c r="V24" i="5"/>
  <c r="X24" i="5"/>
  <c r="V25" i="5"/>
  <c r="X25" i="5"/>
  <c r="V26" i="5"/>
  <c r="X26" i="5"/>
  <c r="V27" i="5"/>
  <c r="V28" i="5"/>
  <c r="X28" i="5"/>
  <c r="V29" i="5"/>
  <c r="X29" i="5"/>
  <c r="V30" i="5"/>
  <c r="R30" i="5" s="1"/>
  <c r="X30" i="5"/>
  <c r="V31" i="5"/>
  <c r="X31" i="5"/>
  <c r="V32" i="5"/>
  <c r="X32" i="5"/>
  <c r="V33" i="5"/>
  <c r="X33" i="5"/>
  <c r="V34" i="5"/>
  <c r="X34" i="5"/>
  <c r="V35" i="5"/>
  <c r="X35" i="5"/>
  <c r="V36" i="5"/>
  <c r="R36" i="5" s="1"/>
  <c r="X36" i="5"/>
  <c r="V37" i="5"/>
  <c r="X37" i="5"/>
  <c r="V38" i="5"/>
  <c r="X38" i="5"/>
  <c r="V39" i="5"/>
  <c r="X39" i="5"/>
  <c r="V40" i="5"/>
  <c r="V41" i="5"/>
  <c r="X41" i="5"/>
  <c r="V42" i="5"/>
  <c r="X42" i="5"/>
  <c r="V43" i="5"/>
  <c r="V44" i="5"/>
  <c r="X44" i="5"/>
  <c r="V45" i="5"/>
  <c r="X45" i="5"/>
  <c r="V46" i="5"/>
  <c r="X46" i="5"/>
  <c r="V47" i="5"/>
  <c r="X47" i="5"/>
  <c r="V48" i="5"/>
  <c r="X48" i="5"/>
  <c r="V49" i="5"/>
  <c r="V50" i="5"/>
  <c r="X50" i="5"/>
  <c r="V51" i="5"/>
  <c r="X51" i="5"/>
  <c r="V52" i="5"/>
  <c r="X52" i="5"/>
  <c r="V53" i="5"/>
  <c r="X53" i="5"/>
  <c r="V54" i="5"/>
  <c r="X54" i="5"/>
  <c r="V55" i="5"/>
  <c r="X55" i="5"/>
  <c r="V56" i="5"/>
  <c r="X56" i="5"/>
  <c r="V57" i="5"/>
  <c r="X57" i="5"/>
  <c r="V58" i="5"/>
  <c r="X58" i="5"/>
  <c r="V59" i="5"/>
  <c r="X59" i="5"/>
  <c r="V60" i="5"/>
  <c r="X60" i="5"/>
  <c r="V61" i="5"/>
  <c r="V62" i="5"/>
  <c r="R62" i="5" s="1"/>
  <c r="V63" i="5"/>
  <c r="X63" i="5"/>
  <c r="V64" i="5"/>
  <c r="X64" i="5"/>
  <c r="V65" i="5"/>
  <c r="X65" i="5"/>
  <c r="V66" i="5"/>
  <c r="X66" i="5"/>
  <c r="V67" i="5"/>
  <c r="X67" i="5"/>
  <c r="V68" i="5"/>
  <c r="X68" i="5"/>
  <c r="V69" i="5"/>
  <c r="X69" i="5"/>
  <c r="V70" i="5"/>
  <c r="X70" i="5"/>
  <c r="V71" i="5"/>
  <c r="X71" i="5"/>
  <c r="V72" i="5"/>
  <c r="R72" i="5" s="1"/>
  <c r="V73" i="5"/>
  <c r="X73" i="5"/>
  <c r="V74" i="5"/>
  <c r="X74" i="5"/>
  <c r="V75" i="5"/>
  <c r="R75" i="5" s="1"/>
  <c r="X75" i="5"/>
  <c r="V76" i="5"/>
  <c r="X76" i="5"/>
  <c r="V77" i="5"/>
  <c r="X77" i="5"/>
  <c r="V78" i="5"/>
  <c r="V79" i="5"/>
  <c r="X79" i="5"/>
  <c r="V80" i="5"/>
  <c r="X80" i="5"/>
  <c r="V81" i="5"/>
  <c r="X81" i="5"/>
  <c r="V82" i="5"/>
  <c r="X82" i="5"/>
  <c r="V83" i="5"/>
  <c r="X83" i="5"/>
  <c r="V84" i="5"/>
  <c r="X84" i="5"/>
  <c r="V85" i="5"/>
  <c r="X85" i="5"/>
  <c r="V86" i="5"/>
  <c r="X86" i="5"/>
  <c r="V87" i="5"/>
  <c r="V88" i="5"/>
  <c r="R88" i="5" s="1"/>
  <c r="X88" i="5"/>
  <c r="V89" i="5"/>
  <c r="X89" i="5"/>
  <c r="V90" i="5"/>
  <c r="X90" i="5"/>
  <c r="V91" i="5"/>
  <c r="X91" i="5"/>
  <c r="V92" i="5"/>
  <c r="V93" i="5"/>
  <c r="V94" i="5"/>
  <c r="X94" i="5"/>
  <c r="V95" i="5"/>
  <c r="R95" i="5" s="1"/>
  <c r="X95" i="5"/>
  <c r="V96" i="5"/>
  <c r="X96" i="5"/>
  <c r="V97" i="5"/>
  <c r="X97" i="5"/>
  <c r="V98" i="5"/>
  <c r="X98" i="5"/>
  <c r="V99" i="5"/>
  <c r="X99" i="5"/>
  <c r="V100" i="5"/>
  <c r="X100" i="5"/>
  <c r="V101" i="5"/>
  <c r="R101" i="5" s="1"/>
  <c r="X101" i="5"/>
  <c r="V102" i="5"/>
  <c r="X102" i="5"/>
  <c r="V103" i="5"/>
  <c r="V104" i="5"/>
  <c r="X104" i="5"/>
  <c r="V105" i="5"/>
  <c r="X105" i="5"/>
  <c r="V106" i="5"/>
  <c r="X106" i="5"/>
  <c r="V107" i="5"/>
  <c r="X107" i="5"/>
  <c r="V108" i="5"/>
  <c r="V109" i="5"/>
  <c r="X109" i="5"/>
  <c r="V110" i="5"/>
  <c r="X110" i="5"/>
  <c r="V111" i="5"/>
  <c r="X111" i="5"/>
  <c r="V112" i="5"/>
  <c r="X112" i="5"/>
  <c r="V113" i="5"/>
  <c r="X113" i="5"/>
  <c r="V114" i="5"/>
  <c r="X114" i="5"/>
  <c r="V115" i="5"/>
  <c r="V116" i="5"/>
  <c r="X116" i="5"/>
  <c r="V117" i="5"/>
  <c r="V118" i="5"/>
  <c r="V119" i="5"/>
  <c r="X119" i="5"/>
  <c r="V120" i="5"/>
  <c r="X120" i="5"/>
  <c r="V121" i="5"/>
  <c r="V122" i="5"/>
  <c r="R122" i="5" s="1"/>
  <c r="V123" i="5"/>
  <c r="X123" i="5"/>
  <c r="V124" i="5"/>
  <c r="X124" i="5"/>
  <c r="V125" i="5"/>
  <c r="X125" i="5"/>
  <c r="V126" i="5"/>
  <c r="X126" i="5"/>
  <c r="V127" i="5"/>
  <c r="X127" i="5"/>
  <c r="V128" i="5"/>
  <c r="X128" i="5"/>
  <c r="V129" i="5"/>
  <c r="X129" i="5"/>
  <c r="V130" i="5"/>
  <c r="X130" i="5"/>
  <c r="V131" i="5"/>
  <c r="X131" i="5"/>
  <c r="V132" i="5"/>
  <c r="R132" i="5" s="1"/>
  <c r="X132" i="5"/>
  <c r="V133" i="5"/>
  <c r="V134" i="5"/>
  <c r="X134" i="5"/>
  <c r="V135" i="5"/>
  <c r="R135" i="5" s="1"/>
  <c r="X135" i="5"/>
  <c r="V136" i="5"/>
  <c r="X136" i="5"/>
  <c r="V137" i="5"/>
  <c r="X137" i="5"/>
  <c r="V138" i="5"/>
  <c r="X138" i="5"/>
  <c r="V139" i="5"/>
  <c r="X139" i="5"/>
  <c r="V140" i="5"/>
  <c r="X140" i="5"/>
  <c r="V141" i="5"/>
  <c r="R141" i="5" s="1"/>
  <c r="X141" i="5"/>
  <c r="V142" i="5"/>
  <c r="X142" i="5"/>
  <c r="V143" i="5"/>
  <c r="X143" i="5"/>
  <c r="V144" i="5"/>
  <c r="X144" i="5"/>
  <c r="V145" i="5"/>
  <c r="X145" i="5"/>
  <c r="V146" i="5"/>
  <c r="X146" i="5"/>
  <c r="V147" i="5"/>
  <c r="X147" i="5"/>
  <c r="V148" i="5"/>
  <c r="X148" i="5"/>
  <c r="V149" i="5"/>
  <c r="X149" i="5"/>
  <c r="V150" i="5"/>
  <c r="X150" i="5"/>
  <c r="V151" i="5"/>
  <c r="X151" i="5"/>
  <c r="V152" i="5"/>
  <c r="V153" i="5"/>
  <c r="V154" i="5"/>
  <c r="R154" i="5" s="1"/>
  <c r="X154" i="5"/>
  <c r="V155" i="5"/>
  <c r="X155" i="5"/>
  <c r="V156" i="5"/>
  <c r="X156" i="5"/>
  <c r="V157" i="5"/>
  <c r="X157" i="5"/>
  <c r="V158" i="5"/>
  <c r="E158" i="5"/>
  <c r="X158" i="5" s="1"/>
  <c r="V159" i="5"/>
  <c r="E159" i="5"/>
  <c r="X159" i="5" s="1"/>
  <c r="V160" i="5"/>
  <c r="E160" i="5"/>
  <c r="X160" i="5" s="1"/>
  <c r="V161" i="5"/>
  <c r="V162" i="5"/>
  <c r="E162" i="5"/>
  <c r="X162" i="5" s="1"/>
  <c r="V163" i="5"/>
  <c r="E163" i="5"/>
  <c r="X163" i="5" s="1"/>
  <c r="V164" i="5"/>
  <c r="E164" i="5"/>
  <c r="X164" i="5" s="1"/>
  <c r="V165" i="5"/>
  <c r="E165" i="5"/>
  <c r="X165" i="5" s="1"/>
  <c r="V166" i="5"/>
  <c r="E166" i="5"/>
  <c r="X166" i="5" s="1"/>
  <c r="V167" i="5"/>
  <c r="E167" i="5"/>
  <c r="X167" i="5" s="1"/>
  <c r="V168" i="5"/>
  <c r="E168" i="5"/>
  <c r="X168" i="5" s="1"/>
  <c r="V169" i="5"/>
  <c r="V170" i="5"/>
  <c r="V171" i="5"/>
  <c r="E171" i="5"/>
  <c r="X171" i="5" s="1"/>
  <c r="V172" i="5"/>
  <c r="E172" i="5"/>
  <c r="X172" i="5" s="1"/>
  <c r="V173" i="5"/>
  <c r="E173" i="5"/>
  <c r="X173" i="5" s="1"/>
  <c r="V174" i="5"/>
  <c r="E174" i="5"/>
  <c r="X174" i="5" s="1"/>
  <c r="V175" i="5"/>
  <c r="V176" i="5"/>
  <c r="E176" i="5"/>
  <c r="X176" i="5" s="1"/>
  <c r="V177" i="5"/>
  <c r="E177" i="5"/>
  <c r="X177" i="5" s="1"/>
  <c r="V178" i="5"/>
  <c r="E178" i="5"/>
  <c r="X178" i="5" s="1"/>
  <c r="V179" i="5"/>
  <c r="E179" i="5"/>
  <c r="X179" i="5" s="1"/>
  <c r="V180" i="5"/>
  <c r="E180" i="5"/>
  <c r="X180" i="5" s="1"/>
  <c r="V181" i="5"/>
  <c r="V182" i="5"/>
  <c r="V183" i="5"/>
  <c r="E183" i="5"/>
  <c r="X183" i="5" s="1"/>
  <c r="V184" i="5"/>
  <c r="E184" i="5"/>
  <c r="X184" i="5" s="1"/>
  <c r="V185" i="5"/>
  <c r="E185" i="5"/>
  <c r="X185" i="5" s="1"/>
  <c r="V186" i="5"/>
  <c r="E186" i="5"/>
  <c r="X186" i="5" s="1"/>
  <c r="V187" i="5"/>
  <c r="E187" i="5"/>
  <c r="X187" i="5" s="1"/>
  <c r="V188" i="5"/>
  <c r="E188" i="5"/>
  <c r="X188" i="5" s="1"/>
  <c r="V189" i="5"/>
  <c r="V190" i="5"/>
  <c r="V191" i="5"/>
  <c r="V192" i="5"/>
  <c r="E192" i="5"/>
  <c r="X192" i="5" s="1"/>
  <c r="V193" i="5"/>
  <c r="V194" i="5"/>
  <c r="V195" i="5"/>
  <c r="V196" i="5"/>
  <c r="E196" i="5"/>
  <c r="X196" i="5" s="1"/>
  <c r="V197" i="5"/>
  <c r="V198" i="5"/>
  <c r="V199" i="5"/>
  <c r="V200" i="5"/>
  <c r="E200" i="5"/>
  <c r="X200" i="5" s="1"/>
  <c r="V201" i="5"/>
  <c r="E201" i="5"/>
  <c r="X201" i="5" s="1"/>
  <c r="V202" i="5"/>
  <c r="E202" i="5"/>
  <c r="X202" i="5" s="1"/>
  <c r="V203" i="5"/>
  <c r="E203" i="5"/>
  <c r="X203" i="5" s="1"/>
  <c r="V204" i="5"/>
  <c r="E204" i="5"/>
  <c r="X204" i="5" s="1"/>
  <c r="V205" i="5"/>
  <c r="E205" i="5"/>
  <c r="X205" i="5" s="1"/>
  <c r="V206" i="5"/>
  <c r="E206" i="5"/>
  <c r="X206" i="5" s="1"/>
  <c r="V207" i="5"/>
  <c r="E207" i="5"/>
  <c r="X207" i="5" s="1"/>
  <c r="V208" i="5"/>
  <c r="E208" i="5"/>
  <c r="X208" i="5" s="1"/>
  <c r="V210" i="5"/>
  <c r="E210" i="5"/>
  <c r="X210" i="5" s="1"/>
  <c r="V211" i="5"/>
  <c r="E211" i="5"/>
  <c r="X211" i="5" s="1"/>
  <c r="V212" i="5"/>
  <c r="V213" i="5"/>
  <c r="V214" i="5"/>
  <c r="V215" i="5"/>
  <c r="E215" i="5"/>
  <c r="X215" i="5" s="1"/>
  <c r="V216" i="5"/>
  <c r="E216" i="5"/>
  <c r="X216" i="5" s="1"/>
  <c r="V217" i="5"/>
  <c r="E217" i="5"/>
  <c r="X217" i="5" s="1"/>
  <c r="V218" i="5"/>
  <c r="E218" i="5"/>
  <c r="X218" i="5" s="1"/>
  <c r="V219" i="5"/>
  <c r="E219" i="5"/>
  <c r="X219" i="5" s="1"/>
  <c r="V220" i="5"/>
  <c r="E220" i="5"/>
  <c r="X220" i="5" s="1"/>
  <c r="V221" i="5"/>
  <c r="E221" i="5"/>
  <c r="X221" i="5" s="1"/>
  <c r="V222" i="5"/>
  <c r="E222" i="5"/>
  <c r="X222" i="5" s="1"/>
  <c r="V223" i="5"/>
  <c r="E223" i="5"/>
  <c r="X223" i="5" s="1"/>
  <c r="V224" i="5"/>
  <c r="E224" i="5"/>
  <c r="X224" i="5" s="1"/>
  <c r="V225" i="5"/>
  <c r="E225" i="5"/>
  <c r="X225" i="5" s="1"/>
  <c r="V226" i="5"/>
  <c r="E226" i="5"/>
  <c r="X226" i="5" s="1"/>
  <c r="V227" i="5"/>
  <c r="E227" i="5"/>
  <c r="X227" i="5" s="1"/>
  <c r="V228" i="5"/>
  <c r="E228" i="5"/>
  <c r="X228" i="5" s="1"/>
  <c r="V229" i="5"/>
  <c r="E229" i="5"/>
  <c r="X229" i="5" s="1"/>
  <c r="V230" i="5"/>
  <c r="E230" i="5"/>
  <c r="X230" i="5" s="1"/>
  <c r="V231" i="5"/>
  <c r="E231" i="5"/>
  <c r="X231" i="5" s="1"/>
  <c r="V232" i="5"/>
  <c r="E232" i="5"/>
  <c r="X232" i="5" s="1"/>
  <c r="V233" i="5"/>
  <c r="E233" i="5"/>
  <c r="X233" i="5" s="1"/>
  <c r="V234" i="5"/>
  <c r="E234" i="5"/>
  <c r="X234" i="5" s="1"/>
  <c r="V235" i="5"/>
  <c r="E235" i="5"/>
  <c r="X235" i="5" s="1"/>
  <c r="V236" i="5"/>
  <c r="E236" i="5"/>
  <c r="X236" i="5" s="1"/>
  <c r="V237" i="5"/>
  <c r="E237" i="5"/>
  <c r="X237" i="5" s="1"/>
  <c r="V238" i="5"/>
  <c r="E238" i="5"/>
  <c r="X238" i="5" s="1"/>
  <c r="V239" i="5"/>
  <c r="E239" i="5"/>
  <c r="X239" i="5" s="1"/>
  <c r="V240" i="5"/>
  <c r="E240" i="5"/>
  <c r="X240" i="5" s="1"/>
  <c r="V241" i="5"/>
  <c r="E241" i="5"/>
  <c r="X241" i="5" s="1"/>
  <c r="V242" i="5"/>
  <c r="E242" i="5"/>
  <c r="X242" i="5" s="1"/>
  <c r="V243" i="5"/>
  <c r="E243" i="5"/>
  <c r="X243" i="5" s="1"/>
  <c r="V244" i="5"/>
  <c r="E244" i="5"/>
  <c r="X244" i="5" s="1"/>
  <c r="V245" i="5"/>
  <c r="E245" i="5"/>
  <c r="X245" i="5" s="1"/>
  <c r="V246" i="5"/>
  <c r="E246" i="5"/>
  <c r="X246" i="5" s="1"/>
  <c r="V247" i="5"/>
  <c r="E247" i="5"/>
  <c r="X247" i="5" s="1"/>
  <c r="V248" i="5"/>
  <c r="E248" i="5"/>
  <c r="X248" i="5" s="1"/>
  <c r="V249" i="5"/>
  <c r="E249" i="5"/>
  <c r="X249" i="5" s="1"/>
  <c r="V250" i="5"/>
  <c r="E250" i="5"/>
  <c r="X250" i="5" s="1"/>
  <c r="V251" i="5"/>
  <c r="E251" i="5"/>
  <c r="X251" i="5" s="1"/>
  <c r="V252" i="5"/>
  <c r="E252" i="5"/>
  <c r="X252" i="5" s="1"/>
  <c r="V253" i="5"/>
  <c r="E253" i="5"/>
  <c r="X253" i="5" s="1"/>
  <c r="V254" i="5"/>
  <c r="E254" i="5"/>
  <c r="X254" i="5" s="1"/>
  <c r="V255" i="5"/>
  <c r="E255" i="5"/>
  <c r="X255" i="5" s="1"/>
  <c r="V256" i="5"/>
  <c r="E256" i="5"/>
  <c r="X256" i="5" s="1"/>
  <c r="V257" i="5"/>
  <c r="V258" i="5"/>
  <c r="V259" i="5"/>
  <c r="E259" i="5"/>
  <c r="X259" i="5" s="1"/>
  <c r="V260" i="5"/>
  <c r="E260" i="5"/>
  <c r="X260" i="5" s="1"/>
  <c r="V261" i="5"/>
  <c r="V262" i="5"/>
  <c r="V263" i="5"/>
  <c r="E263" i="5"/>
  <c r="X263" i="5" s="1"/>
  <c r="V264" i="5"/>
  <c r="E264" i="5"/>
  <c r="X264" i="5" s="1"/>
  <c r="V265" i="5"/>
  <c r="V266" i="5"/>
  <c r="E266" i="5"/>
  <c r="X266" i="5" s="1"/>
  <c r="V267" i="5"/>
  <c r="E267" i="5"/>
  <c r="X267" i="5" s="1"/>
  <c r="V268" i="5"/>
  <c r="E268" i="5"/>
  <c r="X268" i="5" s="1"/>
  <c r="V269" i="5"/>
  <c r="E269" i="5"/>
  <c r="X269" i="5" s="1"/>
  <c r="V270" i="5"/>
  <c r="E270" i="5"/>
  <c r="X270" i="5" s="1"/>
  <c r="V271" i="5"/>
  <c r="E271" i="5"/>
  <c r="X271" i="5" s="1"/>
  <c r="V272" i="5"/>
  <c r="E272" i="5"/>
  <c r="X272" i="5" s="1"/>
  <c r="V273" i="5"/>
  <c r="E273" i="5"/>
  <c r="X273" i="5" s="1"/>
  <c r="V274" i="5"/>
  <c r="E274" i="5"/>
  <c r="X274" i="5" s="1"/>
  <c r="V275" i="5"/>
  <c r="V276" i="5"/>
  <c r="E276" i="5"/>
  <c r="X276" i="5" s="1"/>
  <c r="V277" i="5"/>
  <c r="E277" i="5"/>
  <c r="X277" i="5" s="1"/>
  <c r="V278" i="5"/>
  <c r="E278" i="5"/>
  <c r="X278" i="5" s="1"/>
  <c r="V279" i="5"/>
  <c r="E279" i="5"/>
  <c r="X279" i="5" s="1"/>
  <c r="V280" i="5"/>
  <c r="E280" i="5"/>
  <c r="X280" i="5" s="1"/>
  <c r="V281" i="5"/>
  <c r="V282" i="5"/>
  <c r="E282" i="5"/>
  <c r="X282" i="5" s="1"/>
  <c r="V283" i="5"/>
  <c r="E283" i="5"/>
  <c r="X283" i="5" s="1"/>
  <c r="V284" i="5"/>
  <c r="E284" i="5"/>
  <c r="X284" i="5" s="1"/>
  <c r="V285" i="5"/>
  <c r="E285" i="5"/>
  <c r="X285" i="5" s="1"/>
  <c r="V286" i="5"/>
  <c r="E286" i="5"/>
  <c r="X286" i="5" s="1"/>
  <c r="V287" i="5"/>
  <c r="E287" i="5"/>
  <c r="X287" i="5" s="1"/>
  <c r="V288" i="5"/>
  <c r="E288" i="5"/>
  <c r="X288" i="5" s="1"/>
  <c r="V289" i="5"/>
  <c r="V290" i="5"/>
  <c r="E290" i="5"/>
  <c r="X290" i="5" s="1"/>
  <c r="V291" i="5"/>
  <c r="E291" i="5"/>
  <c r="X291" i="5" s="1"/>
  <c r="V292" i="5"/>
  <c r="E292" i="5"/>
  <c r="X292" i="5" s="1"/>
  <c r="V293" i="5"/>
  <c r="E293" i="5"/>
  <c r="X293" i="5" s="1"/>
  <c r="V294" i="5"/>
  <c r="E294" i="5"/>
  <c r="X294" i="5" s="1"/>
  <c r="V295" i="5"/>
  <c r="E295" i="5"/>
  <c r="X295" i="5" s="1"/>
  <c r="V296" i="5"/>
  <c r="E296" i="5"/>
  <c r="X296" i="5" s="1"/>
  <c r="V297" i="5"/>
  <c r="V298" i="5"/>
  <c r="E298" i="5"/>
  <c r="X298" i="5" s="1"/>
  <c r="V299" i="5"/>
  <c r="E299" i="5"/>
  <c r="X299" i="5" s="1"/>
  <c r="V300" i="5"/>
  <c r="E300" i="5"/>
  <c r="X300" i="5" s="1"/>
  <c r="V301" i="5"/>
  <c r="V302" i="5"/>
  <c r="V303" i="5"/>
  <c r="E303" i="5"/>
  <c r="X303" i="5" s="1"/>
  <c r="V304" i="5"/>
  <c r="E304" i="5"/>
  <c r="X304" i="5" s="1"/>
  <c r="V305" i="5"/>
  <c r="E305" i="5"/>
  <c r="X305" i="5" s="1"/>
  <c r="V306" i="5"/>
  <c r="E306" i="5"/>
  <c r="X306" i="5" s="1"/>
  <c r="V307" i="5"/>
  <c r="E307" i="5"/>
  <c r="X307" i="5" s="1"/>
  <c r="V308" i="5"/>
  <c r="E308" i="5"/>
  <c r="X308" i="5" s="1"/>
  <c r="V309" i="5"/>
  <c r="E309" i="5"/>
  <c r="X309" i="5" s="1"/>
  <c r="V310" i="5"/>
  <c r="E310" i="5"/>
  <c r="X310" i="5" s="1"/>
  <c r="V311" i="5"/>
  <c r="E311" i="5"/>
  <c r="X311" i="5" s="1"/>
  <c r="V312" i="5"/>
  <c r="E312" i="5"/>
  <c r="X312" i="5" s="1"/>
  <c r="V313" i="5"/>
  <c r="E313" i="5"/>
  <c r="X313" i="5" s="1"/>
  <c r="V314" i="5"/>
  <c r="V315" i="5"/>
  <c r="V316" i="5"/>
  <c r="E316" i="5"/>
  <c r="X316" i="5" s="1"/>
  <c r="V317" i="5"/>
  <c r="E317" i="5"/>
  <c r="X317" i="5" s="1"/>
  <c r="V318" i="5"/>
  <c r="E318" i="5"/>
  <c r="X318" i="5" s="1"/>
  <c r="V319" i="5"/>
  <c r="E319" i="5"/>
  <c r="X319" i="5" s="1"/>
  <c r="V320" i="5"/>
  <c r="E320" i="5"/>
  <c r="X320" i="5" s="1"/>
  <c r="V321" i="5"/>
  <c r="V322" i="5"/>
  <c r="E322" i="5"/>
  <c r="X322" i="5" s="1"/>
  <c r="V323" i="5"/>
  <c r="E323" i="5"/>
  <c r="X323" i="5" s="1"/>
  <c r="V324" i="5"/>
  <c r="E324" i="5"/>
  <c r="X324" i="5" s="1"/>
  <c r="V325" i="5"/>
  <c r="E325" i="5"/>
  <c r="X325" i="5" s="1"/>
  <c r="V326" i="5"/>
  <c r="E326" i="5"/>
  <c r="X326" i="5" s="1"/>
  <c r="V327" i="5"/>
  <c r="E327" i="5"/>
  <c r="X327" i="5" s="1"/>
  <c r="V328" i="5"/>
  <c r="E328" i="5"/>
  <c r="X328" i="5" s="1"/>
  <c r="V329" i="5"/>
  <c r="E329" i="5"/>
  <c r="X329" i="5" s="1"/>
  <c r="V330" i="5"/>
  <c r="E330" i="5"/>
  <c r="X330" i="5" s="1"/>
  <c r="V331" i="5"/>
  <c r="V332" i="5"/>
  <c r="V333" i="5"/>
  <c r="E333" i="5"/>
  <c r="X333" i="5" s="1"/>
  <c r="V334" i="5"/>
  <c r="E334" i="5"/>
  <c r="X334" i="5" s="1"/>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V344" i="5"/>
  <c r="E344" i="5"/>
  <c r="V345" i="5"/>
  <c r="E345" i="5"/>
  <c r="X345" i="5" s="1"/>
  <c r="V346" i="5"/>
  <c r="E346" i="5"/>
  <c r="X346" i="5" s="1"/>
  <c r="V347" i="5"/>
  <c r="E347" i="5"/>
  <c r="X347" i="5" s="1"/>
  <c r="V348" i="5"/>
  <c r="E348" i="5"/>
  <c r="X348" i="5" s="1"/>
  <c r="V349" i="5"/>
  <c r="E349" i="5"/>
  <c r="X349" i="5" s="1"/>
  <c r="V350" i="5"/>
  <c r="E350" i="5"/>
  <c r="X350" i="5" s="1"/>
  <c r="V351" i="5"/>
  <c r="V352" i="5"/>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V372" i="5"/>
  <c r="E372" i="5"/>
  <c r="X372" i="5" s="1"/>
  <c r="V373" i="5"/>
  <c r="E373" i="5"/>
  <c r="X373" i="5" s="1"/>
  <c r="V374" i="5"/>
  <c r="E374" i="5"/>
  <c r="X374" i="5" s="1"/>
  <c r="V375" i="5"/>
  <c r="E375" i="5"/>
  <c r="X375" i="5" s="1"/>
  <c r="V376" i="5"/>
  <c r="E376" i="5"/>
  <c r="X376" i="5" s="1"/>
  <c r="V377" i="5"/>
  <c r="V378" i="5"/>
  <c r="E378" i="5"/>
  <c r="X378" i="5" s="1"/>
  <c r="V379" i="5"/>
  <c r="V380" i="5"/>
  <c r="E380" i="5"/>
  <c r="X380" i="5" s="1"/>
  <c r="V381" i="5"/>
  <c r="E381" i="5"/>
  <c r="X381" i="5" s="1"/>
  <c r="V382" i="5"/>
  <c r="E382" i="5"/>
  <c r="X382" i="5" s="1"/>
  <c r="V383" i="5"/>
  <c r="V384" i="5"/>
  <c r="V385" i="5"/>
  <c r="E385" i="5"/>
  <c r="X385" i="5" s="1"/>
  <c r="V386" i="5"/>
  <c r="E386" i="5"/>
  <c r="X386" i="5" s="1"/>
  <c r="V387" i="5"/>
  <c r="E387" i="5"/>
  <c r="X387" i="5" s="1"/>
  <c r="V388" i="5"/>
  <c r="V389" i="5"/>
  <c r="V390" i="5"/>
  <c r="E390" i="5"/>
  <c r="X390" i="5" s="1"/>
  <c r="V391" i="5"/>
  <c r="E391" i="5"/>
  <c r="X391" i="5" s="1"/>
  <c r="V392" i="5"/>
  <c r="V393" i="5"/>
  <c r="V394" i="5"/>
  <c r="E394" i="5"/>
  <c r="X394" i="5" s="1"/>
  <c r="V395" i="5"/>
  <c r="E395" i="5"/>
  <c r="X395" i="5" s="1"/>
  <c r="V396" i="5"/>
  <c r="E396" i="5"/>
  <c r="X396" i="5" s="1"/>
  <c r="V397" i="5"/>
  <c r="E397" i="5"/>
  <c r="X397" i="5" s="1"/>
  <c r="V398" i="5"/>
  <c r="E398" i="5"/>
  <c r="X398" i="5" s="1"/>
  <c r="V399" i="5"/>
  <c r="V400" i="5"/>
  <c r="E400" i="5"/>
  <c r="X400" i="5" s="1"/>
  <c r="V401" i="5"/>
  <c r="E401" i="5"/>
  <c r="X401" i="5" s="1"/>
  <c r="V402" i="5"/>
  <c r="E402" i="5"/>
  <c r="X402" i="5" s="1"/>
  <c r="V403" i="5"/>
  <c r="E403" i="5"/>
  <c r="X403" i="5" s="1"/>
  <c r="V404" i="5"/>
  <c r="E404" i="5"/>
  <c r="X404" i="5" s="1"/>
  <c r="V405" i="5"/>
  <c r="E405" i="5"/>
  <c r="X405" i="5" s="1"/>
  <c r="V406" i="5"/>
  <c r="E406" i="5"/>
  <c r="X406" i="5" s="1"/>
  <c r="V407" i="5"/>
  <c r="V408" i="5"/>
  <c r="E408" i="5"/>
  <c r="X408" i="5" s="1"/>
  <c r="V409" i="5"/>
  <c r="E409" i="5"/>
  <c r="X409" i="5" s="1"/>
  <c r="V410" i="5"/>
  <c r="E410" i="5"/>
  <c r="X410" i="5" s="1"/>
  <c r="V411" i="5"/>
  <c r="E411" i="5"/>
  <c r="X411" i="5" s="1"/>
  <c r="V412" i="5"/>
  <c r="E412" i="5"/>
  <c r="X412" i="5" s="1"/>
  <c r="V413" i="5"/>
  <c r="E413" i="5"/>
  <c r="X413" i="5" s="1"/>
  <c r="V414" i="5"/>
  <c r="V415" i="5"/>
  <c r="V416" i="5"/>
  <c r="V417" i="5"/>
  <c r="E417" i="5"/>
  <c r="X417" i="5" s="1"/>
  <c r="V418" i="5"/>
  <c r="E418" i="5"/>
  <c r="X418" i="5" s="1"/>
  <c r="V419" i="5"/>
  <c r="E419" i="5"/>
  <c r="X419" i="5" s="1"/>
  <c r="V420" i="5"/>
  <c r="E420" i="5"/>
  <c r="X420" i="5" s="1"/>
  <c r="V421" i="5"/>
  <c r="V422" i="5"/>
  <c r="V423" i="5"/>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V460" i="5"/>
  <c r="E460" i="5"/>
  <c r="X460" i="5" s="1"/>
  <c r="V461" i="5"/>
  <c r="V462" i="5"/>
  <c r="E462" i="5"/>
  <c r="X462" i="5" s="1"/>
  <c r="V463" i="5"/>
  <c r="V464" i="5"/>
  <c r="E464" i="5"/>
  <c r="X464" i="5" s="1"/>
  <c r="V465" i="5"/>
  <c r="E465" i="5"/>
  <c r="X465" i="5" s="1"/>
  <c r="V466" i="5"/>
  <c r="E466" i="5"/>
  <c r="X466" i="5" s="1"/>
  <c r="V467" i="5"/>
  <c r="E467" i="5"/>
  <c r="X467" i="5" s="1"/>
  <c r="V468" i="5"/>
  <c r="E468" i="5"/>
  <c r="X468" i="5" s="1"/>
  <c r="V469" i="5"/>
  <c r="E469" i="5"/>
  <c r="X469" i="5" s="1"/>
  <c r="V470" i="5"/>
  <c r="V471" i="5"/>
  <c r="V472" i="5"/>
  <c r="V473" i="5"/>
  <c r="E473" i="5"/>
  <c r="X473" i="5" s="1"/>
  <c r="V474" i="5"/>
  <c r="E474" i="5"/>
  <c r="X474" i="5" s="1"/>
  <c r="V475" i="5"/>
  <c r="E475" i="5"/>
  <c r="X475" i="5" s="1"/>
  <c r="V476" i="5"/>
  <c r="V477" i="5"/>
  <c r="E477" i="5"/>
  <c r="X477" i="5" s="1"/>
  <c r="V478" i="5"/>
  <c r="V479" i="5"/>
  <c r="V480" i="5"/>
  <c r="V481" i="5"/>
  <c r="E481" i="5"/>
  <c r="X481" i="5" s="1"/>
  <c r="V482" i="5"/>
  <c r="E482" i="5"/>
  <c r="X482" i="5" s="1"/>
  <c r="V483" i="5"/>
  <c r="E483" i="5"/>
  <c r="X483" i="5" s="1"/>
  <c r="V484" i="5"/>
  <c r="E484" i="5"/>
  <c r="X484" i="5" s="1"/>
  <c r="V485" i="5"/>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V495" i="5"/>
  <c r="E495" i="5"/>
  <c r="X495" i="5" s="1"/>
  <c r="V496" i="5"/>
  <c r="E496" i="5"/>
  <c r="X496" i="5" s="1"/>
  <c r="V497" i="5"/>
  <c r="E497" i="5"/>
  <c r="X497" i="5" s="1"/>
  <c r="V498" i="5"/>
  <c r="E498" i="5"/>
  <c r="X498" i="5" s="1"/>
  <c r="V499" i="5"/>
  <c r="V500" i="5"/>
  <c r="V501" i="5"/>
  <c r="E501" i="5"/>
  <c r="X501" i="5" s="1"/>
  <c r="V502" i="5"/>
  <c r="E502" i="5"/>
  <c r="X502" i="5" s="1"/>
  <c r="V503" i="5"/>
  <c r="V504" i="5"/>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V516" i="5"/>
  <c r="V517" i="5"/>
  <c r="E517" i="5"/>
  <c r="X517" i="5" s="1"/>
  <c r="V518" i="5"/>
  <c r="E518" i="5"/>
  <c r="X518" i="5" s="1"/>
  <c r="V519" i="5"/>
  <c r="E519" i="5"/>
  <c r="X519" i="5" s="1"/>
  <c r="V520" i="5"/>
  <c r="V521" i="5"/>
  <c r="E521" i="5"/>
  <c r="X521" i="5" s="1"/>
  <c r="V522" i="5"/>
  <c r="E522" i="5"/>
  <c r="X522" i="5" s="1"/>
  <c r="V523" i="5"/>
  <c r="V524" i="5"/>
  <c r="E524" i="5"/>
  <c r="X524" i="5" s="1"/>
  <c r="V525" i="5"/>
  <c r="E525" i="5"/>
  <c r="X525" i="5" s="1"/>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V548" i="5"/>
  <c r="V549" i="5"/>
  <c r="E549" i="5"/>
  <c r="X549" i="5" s="1"/>
  <c r="V550" i="5"/>
  <c r="V551" i="5"/>
  <c r="V552" i="5"/>
  <c r="V553" i="5"/>
  <c r="E553" i="5"/>
  <c r="X553" i="5" s="1"/>
  <c r="V554" i="5"/>
  <c r="E554" i="5"/>
  <c r="X554" i="5" s="1"/>
  <c r="V555" i="5"/>
  <c r="E555" i="5"/>
  <c r="X555" i="5" s="1"/>
  <c r="V556" i="5"/>
  <c r="V557" i="5"/>
  <c r="E557" i="5"/>
  <c r="X557" i="5" s="1"/>
  <c r="V558" i="5"/>
  <c r="V559" i="5"/>
  <c r="V560" i="5"/>
  <c r="V561" i="5"/>
  <c r="E561" i="5"/>
  <c r="X561" i="5" s="1"/>
  <c r="V562" i="5"/>
  <c r="V563" i="5"/>
  <c r="V564" i="5"/>
  <c r="V565" i="5"/>
  <c r="E565" i="5"/>
  <c r="X565" i="5" s="1"/>
  <c r="V566" i="5"/>
  <c r="V567" i="5"/>
  <c r="E567" i="5"/>
  <c r="X567" i="5" s="1"/>
  <c r="V568" i="5"/>
  <c r="V569" i="5"/>
  <c r="V570" i="5"/>
  <c r="E570" i="5"/>
  <c r="X570" i="5" s="1"/>
  <c r="V571" i="5"/>
  <c r="V572" i="5"/>
  <c r="E572" i="5"/>
  <c r="X572" i="5" s="1"/>
  <c r="V573" i="5"/>
  <c r="V574" i="5"/>
  <c r="V575" i="5"/>
  <c r="E575" i="5"/>
  <c r="X575" i="5" s="1"/>
  <c r="V576" i="5"/>
  <c r="V577" i="5"/>
  <c r="E577" i="5"/>
  <c r="X577" i="5" s="1"/>
  <c r="V578" i="5"/>
  <c r="E578" i="5"/>
  <c r="X578" i="5" s="1"/>
  <c r="V579" i="5"/>
  <c r="E579" i="5"/>
  <c r="X579" i="5" s="1"/>
  <c r="V580" i="5"/>
  <c r="E580" i="5"/>
  <c r="X580" i="5" s="1"/>
  <c r="V581" i="5"/>
  <c r="E581" i="5"/>
  <c r="X581" i="5" s="1"/>
  <c r="V582" i="5"/>
  <c r="V583" i="5"/>
  <c r="E583" i="5"/>
  <c r="X583" i="5" s="1"/>
  <c r="V584" i="5"/>
  <c r="V585" i="5"/>
  <c r="E585" i="5"/>
  <c r="X585" i="5" s="1"/>
  <c r="V586" i="5"/>
  <c r="V587" i="5"/>
  <c r="V588" i="5"/>
  <c r="E588" i="5"/>
  <c r="X588" i="5" s="1"/>
  <c r="V589" i="5"/>
  <c r="V590" i="5"/>
  <c r="V591" i="5"/>
  <c r="E591" i="5"/>
  <c r="X591" i="5" s="1"/>
  <c r="V592" i="5"/>
  <c r="V593" i="5"/>
  <c r="V594" i="5"/>
  <c r="V595" i="5"/>
  <c r="E595" i="5"/>
  <c r="X595" i="5" s="1"/>
  <c r="V596" i="5"/>
  <c r="E596" i="5"/>
  <c r="X596" i="5" s="1"/>
  <c r="V597" i="5"/>
  <c r="E597" i="5"/>
  <c r="X597" i="5" s="1"/>
  <c r="V598" i="5"/>
  <c r="V599" i="5"/>
  <c r="E599" i="5"/>
  <c r="X599" i="5" s="1"/>
  <c r="V600" i="5"/>
  <c r="V601" i="5"/>
  <c r="E601" i="5"/>
  <c r="X601" i="5" s="1"/>
  <c r="V602" i="5"/>
  <c r="E602" i="5"/>
  <c r="X602" i="5" s="1"/>
  <c r="V603" i="5"/>
  <c r="E603" i="5"/>
  <c r="X603" i="5" s="1"/>
  <c r="V604" i="5"/>
  <c r="V605" i="5"/>
  <c r="E605" i="5"/>
  <c r="X605" i="5" s="1"/>
  <c r="V606" i="5"/>
  <c r="V607" i="5"/>
  <c r="E607" i="5"/>
  <c r="X607" i="5" s="1"/>
  <c r="V608" i="5"/>
  <c r="E608" i="5"/>
  <c r="X608" i="5" s="1"/>
  <c r="V609" i="5"/>
  <c r="E609" i="5"/>
  <c r="X609" i="5" s="1"/>
  <c r="V610" i="5"/>
  <c r="V611" i="5"/>
  <c r="E611" i="5"/>
  <c r="X611" i="5" s="1"/>
  <c r="V612" i="5"/>
  <c r="V613" i="5"/>
  <c r="E613" i="5"/>
  <c r="X613" i="5" s="1"/>
  <c r="V614" i="5"/>
  <c r="V615" i="5"/>
  <c r="E615" i="5"/>
  <c r="X615" i="5" s="1"/>
  <c r="V616" i="5"/>
  <c r="V617" i="5"/>
  <c r="V618" i="5"/>
  <c r="V619" i="5"/>
  <c r="E619" i="5"/>
  <c r="X619" i="5" s="1"/>
  <c r="V620" i="5"/>
  <c r="V621" i="5"/>
  <c r="E621" i="5"/>
  <c r="X621" i="5" s="1"/>
  <c r="V622" i="5"/>
  <c r="V623" i="5"/>
  <c r="E623" i="5"/>
  <c r="X623" i="5" s="1"/>
  <c r="V624" i="5"/>
  <c r="V625" i="5"/>
  <c r="E625" i="5"/>
  <c r="X625" i="5" s="1"/>
  <c r="V626" i="5"/>
  <c r="V627" i="5"/>
  <c r="E627" i="5"/>
  <c r="X627" i="5" s="1"/>
  <c r="V628" i="5"/>
  <c r="V629" i="5"/>
  <c r="V630" i="5"/>
  <c r="V631" i="5"/>
  <c r="E631" i="5"/>
  <c r="X631" i="5" s="1"/>
  <c r="V632" i="5"/>
  <c r="V633" i="5"/>
  <c r="E633" i="5"/>
  <c r="X633" i="5" s="1"/>
  <c r="V634" i="5"/>
  <c r="E634" i="5"/>
  <c r="X634" i="5" s="1"/>
  <c r="V635" i="5"/>
  <c r="E635" i="5"/>
  <c r="X635" i="5" s="1"/>
  <c r="V636" i="5"/>
  <c r="V637" i="5"/>
  <c r="E637" i="5"/>
  <c r="X637" i="5" s="1"/>
  <c r="V638" i="5"/>
  <c r="V639" i="5"/>
  <c r="E639" i="5"/>
  <c r="X639" i="5" s="1"/>
  <c r="V640" i="5"/>
  <c r="E640" i="5"/>
  <c r="X640" i="5" s="1"/>
  <c r="V641" i="5"/>
  <c r="E641" i="5"/>
  <c r="X641" i="5" s="1"/>
  <c r="V642" i="5"/>
  <c r="V643" i="5"/>
  <c r="E643" i="5"/>
  <c r="X643" i="5" s="1"/>
  <c r="V644" i="5"/>
  <c r="V645" i="5"/>
  <c r="E645" i="5"/>
  <c r="X645" i="5" s="1"/>
  <c r="V646" i="5"/>
  <c r="V647" i="5"/>
  <c r="E647" i="5"/>
  <c r="X647" i="5" s="1"/>
  <c r="V648" i="5"/>
  <c r="E648" i="5"/>
  <c r="X648" i="5" s="1"/>
  <c r="V649" i="5"/>
  <c r="V650" i="5"/>
  <c r="E650" i="5"/>
  <c r="X650" i="5" s="1"/>
  <c r="V651" i="5"/>
  <c r="E651" i="5"/>
  <c r="X651" i="5" s="1"/>
  <c r="V652" i="5"/>
  <c r="V653" i="5"/>
  <c r="E653" i="5"/>
  <c r="X653" i="5" s="1"/>
  <c r="V654" i="5"/>
  <c r="V655" i="5"/>
  <c r="E655" i="5"/>
  <c r="X655" i="5" s="1"/>
  <c r="V656" i="5"/>
  <c r="V657" i="5"/>
  <c r="E657" i="5"/>
  <c r="X657" i="5" s="1"/>
  <c r="V658" i="5"/>
  <c r="V659" i="5"/>
  <c r="E659" i="5"/>
  <c r="X659" i="5" s="1"/>
  <c r="V660" i="5"/>
  <c r="V661" i="5"/>
  <c r="V662" i="5"/>
  <c r="V663" i="5"/>
  <c r="E663" i="5"/>
  <c r="X663" i="5" s="1"/>
  <c r="V664" i="5"/>
  <c r="V665" i="5"/>
  <c r="E665" i="5"/>
  <c r="X665" i="5" s="1"/>
  <c r="V666" i="5"/>
  <c r="V667" i="5"/>
  <c r="E667" i="5"/>
  <c r="X667" i="5" s="1"/>
  <c r="V668" i="5"/>
  <c r="V669" i="5"/>
  <c r="E669" i="5"/>
  <c r="X669" i="5" s="1"/>
  <c r="V670" i="5"/>
  <c r="E670" i="5"/>
  <c r="X670" i="5" s="1"/>
  <c r="V671" i="5"/>
  <c r="E671" i="5"/>
  <c r="X671" i="5" s="1"/>
  <c r="V672" i="5"/>
  <c r="V673" i="5"/>
  <c r="E673" i="5"/>
  <c r="X673" i="5" s="1"/>
  <c r="V674" i="5"/>
  <c r="V675" i="5"/>
  <c r="E675" i="5"/>
  <c r="X675" i="5" s="1"/>
  <c r="V676" i="5"/>
  <c r="V677" i="5"/>
  <c r="E677" i="5"/>
  <c r="X677" i="5" s="1"/>
  <c r="V678" i="5"/>
  <c r="V679" i="5"/>
  <c r="E679" i="5"/>
  <c r="X679" i="5" s="1"/>
  <c r="V680" i="5"/>
  <c r="V681" i="5"/>
  <c r="V682" i="5"/>
  <c r="V683" i="5"/>
  <c r="V684" i="5"/>
  <c r="E684" i="5"/>
  <c r="X684" i="5" s="1"/>
  <c r="V685" i="5"/>
  <c r="V686" i="5"/>
  <c r="V687" i="5"/>
  <c r="E687" i="5"/>
  <c r="X687" i="5" s="1"/>
  <c r="V688" i="5"/>
  <c r="E688" i="5"/>
  <c r="X688" i="5" s="1"/>
  <c r="V689" i="5"/>
  <c r="V690" i="5"/>
  <c r="V691" i="5"/>
  <c r="V692" i="5"/>
  <c r="V693" i="5"/>
  <c r="V694" i="5"/>
  <c r="V695" i="5"/>
  <c r="E695" i="5"/>
  <c r="X695" i="5" s="1"/>
  <c r="V696" i="5"/>
  <c r="V697" i="5"/>
  <c r="V698" i="5"/>
  <c r="V699" i="5"/>
  <c r="V700" i="5"/>
  <c r="V701" i="5"/>
  <c r="V702" i="5"/>
  <c r="V703" i="5"/>
  <c r="E703" i="5"/>
  <c r="X703" i="5" s="1"/>
  <c r="V704" i="5"/>
  <c r="V705" i="5"/>
  <c r="V706" i="5"/>
  <c r="E706" i="5"/>
  <c r="X706" i="5" s="1"/>
  <c r="V707" i="5"/>
  <c r="V708" i="5"/>
  <c r="E708" i="5"/>
  <c r="X708" i="5" s="1"/>
  <c r="V709" i="5"/>
  <c r="V710" i="5"/>
  <c r="V711" i="5"/>
  <c r="V712" i="5"/>
  <c r="V713" i="5"/>
  <c r="V714" i="5"/>
  <c r="V715" i="5"/>
  <c r="V716" i="5"/>
  <c r="V717" i="5"/>
  <c r="E717" i="5"/>
  <c r="X717" i="5" s="1"/>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s="1"/>
  <c r="V743" i="5"/>
  <c r="V744" i="5"/>
  <c r="V745" i="5"/>
  <c r="V746" i="5"/>
  <c r="V747" i="5"/>
  <c r="V748" i="5"/>
  <c r="V749" i="5"/>
  <c r="E749" i="5"/>
  <c r="X749" i="5" s="1"/>
  <c r="V750" i="5"/>
  <c r="V751" i="5"/>
  <c r="V752" i="5"/>
  <c r="V753" i="5"/>
  <c r="V754" i="5"/>
  <c r="E754" i="5"/>
  <c r="X754" i="5" s="1"/>
  <c r="V755" i="5"/>
  <c r="V756" i="5"/>
  <c r="V757" i="5"/>
  <c r="V758" i="5"/>
  <c r="V759" i="5"/>
  <c r="V760" i="5"/>
  <c r="V761" i="5"/>
  <c r="V762" i="5"/>
  <c r="E762" i="5"/>
  <c r="X762" i="5" s="1"/>
  <c r="V763" i="5"/>
  <c r="V764" i="5"/>
  <c r="V765" i="5"/>
  <c r="V766" i="5"/>
  <c r="V767" i="5"/>
  <c r="V768" i="5"/>
  <c r="V769" i="5"/>
  <c r="V770" i="5"/>
  <c r="V771" i="5"/>
  <c r="V772" i="5"/>
  <c r="V773" i="5"/>
  <c r="V774" i="5"/>
  <c r="V775" i="5"/>
  <c r="E775" i="5"/>
  <c r="X775" i="5" s="1"/>
  <c r="V776" i="5"/>
  <c r="V777" i="5"/>
  <c r="V778" i="5"/>
  <c r="V779" i="5"/>
  <c r="V780" i="5"/>
  <c r="V781" i="5"/>
  <c r="V782" i="5"/>
  <c r="V783" i="5"/>
  <c r="V784" i="5"/>
  <c r="V785" i="5"/>
  <c r="V786" i="5"/>
  <c r="V787" i="5"/>
  <c r="V788" i="5"/>
  <c r="V789" i="5"/>
  <c r="V790" i="5"/>
  <c r="V791" i="5"/>
  <c r="V792" i="5"/>
  <c r="V793" i="5"/>
  <c r="V794" i="5"/>
  <c r="E794" i="5"/>
  <c r="X794" i="5" s="1"/>
  <c r="V795" i="5"/>
  <c r="E795" i="5"/>
  <c r="X795" i="5" s="1"/>
  <c r="V796" i="5"/>
  <c r="V797" i="5"/>
  <c r="V798" i="5"/>
  <c r="V799" i="5"/>
  <c r="V800" i="5"/>
  <c r="V801" i="5"/>
  <c r="V802" i="5"/>
  <c r="V803" i="5"/>
  <c r="V804" i="5"/>
  <c r="V805" i="5"/>
  <c r="V806" i="5"/>
  <c r="V807" i="5"/>
  <c r="V808" i="5"/>
  <c r="E808" i="5"/>
  <c r="X808" i="5" s="1"/>
  <c r="V809" i="5"/>
  <c r="V810" i="5"/>
  <c r="V811" i="5"/>
  <c r="E811" i="5"/>
  <c r="X811" i="5" s="1"/>
  <c r="V812" i="5"/>
  <c r="V813" i="5"/>
  <c r="V814" i="5"/>
  <c r="V815" i="5"/>
  <c r="V816" i="5"/>
  <c r="V817" i="5"/>
  <c r="E817" i="5"/>
  <c r="X817" i="5" s="1"/>
  <c r="V818" i="5"/>
  <c r="E818" i="5"/>
  <c r="X818" i="5" s="1"/>
  <c r="V819" i="5"/>
  <c r="V820" i="5"/>
  <c r="V821" i="5"/>
  <c r="V822" i="5"/>
  <c r="E822" i="5"/>
  <c r="X822" i="5" s="1"/>
  <c r="V823" i="5"/>
  <c r="E823" i="5"/>
  <c r="X823" i="5" s="1"/>
  <c r="V824" i="5"/>
  <c r="V825" i="5"/>
  <c r="V826" i="5"/>
  <c r="E826" i="5"/>
  <c r="X826" i="5" s="1"/>
  <c r="V827" i="5"/>
  <c r="V828" i="5"/>
  <c r="V829" i="5"/>
  <c r="V830" i="5"/>
  <c r="V831" i="5"/>
  <c r="V832" i="5"/>
  <c r="V833" i="5"/>
  <c r="E833" i="5"/>
  <c r="X833" i="5" s="1"/>
  <c r="V834" i="5"/>
  <c r="V835" i="5"/>
  <c r="V836" i="5"/>
  <c r="E836" i="5"/>
  <c r="X836" i="5" s="1"/>
  <c r="V837" i="5"/>
  <c r="E837" i="5"/>
  <c r="X837" i="5" s="1"/>
  <c r="V838" i="5"/>
  <c r="V839" i="5"/>
  <c r="E839" i="5"/>
  <c r="X839" i="5" s="1"/>
  <c r="V840" i="5"/>
  <c r="E840" i="5"/>
  <c r="X840" i="5" s="1"/>
  <c r="V841" i="5"/>
  <c r="E841" i="5"/>
  <c r="X841" i="5" s="1"/>
  <c r="V842" i="5"/>
  <c r="V843" i="5"/>
  <c r="V844" i="5"/>
  <c r="V845" i="5"/>
  <c r="E845" i="5"/>
  <c r="X845" i="5" s="1"/>
  <c r="V846" i="5"/>
  <c r="V847" i="5"/>
  <c r="E847" i="5"/>
  <c r="X847" i="5" s="1"/>
  <c r="V848" i="5"/>
  <c r="V849" i="5"/>
  <c r="V850" i="5"/>
  <c r="V851" i="5"/>
  <c r="V852" i="5"/>
  <c r="V853" i="5"/>
  <c r="E853" i="5"/>
  <c r="X853" i="5" s="1"/>
  <c r="V854" i="5"/>
  <c r="E854" i="5"/>
  <c r="X854" i="5" s="1"/>
  <c r="V855" i="5"/>
  <c r="V856" i="5"/>
  <c r="V857" i="5"/>
  <c r="V858" i="5"/>
  <c r="E858" i="5"/>
  <c r="X858" i="5" s="1"/>
  <c r="V859" i="5"/>
  <c r="E859" i="5"/>
  <c r="X859" i="5" s="1"/>
  <c r="V860" i="5"/>
  <c r="V861" i="5"/>
  <c r="V862" i="5"/>
  <c r="V863" i="5"/>
  <c r="E863" i="5"/>
  <c r="X863" i="5" s="1"/>
  <c r="V864" i="5"/>
  <c r="V865" i="5"/>
  <c r="V866" i="5"/>
  <c r="E866" i="5"/>
  <c r="X866" i="5" s="1"/>
  <c r="V867" i="5"/>
  <c r="V868" i="5"/>
  <c r="E868" i="5"/>
  <c r="X868" i="5" s="1"/>
  <c r="V869" i="5"/>
  <c r="V870" i="5"/>
  <c r="E870" i="5"/>
  <c r="X870" i="5" s="1"/>
  <c r="V871" i="5"/>
  <c r="E871" i="5"/>
  <c r="X871" i="5" s="1"/>
  <c r="V872" i="5"/>
  <c r="V873" i="5"/>
  <c r="V874" i="5"/>
  <c r="E874" i="5"/>
  <c r="X874" i="5" s="1"/>
  <c r="V875" i="5"/>
  <c r="E875" i="5"/>
  <c r="X875" i="5" s="1"/>
  <c r="V876" i="5"/>
  <c r="V877" i="5"/>
  <c r="V878" i="5"/>
  <c r="V879" i="5"/>
  <c r="E879" i="5"/>
  <c r="X879" i="5" s="1"/>
  <c r="V880" i="5"/>
  <c r="V881" i="5"/>
  <c r="V882" i="5"/>
  <c r="E882" i="5"/>
  <c r="X882" i="5" s="1"/>
  <c r="V883" i="5"/>
  <c r="E883" i="5"/>
  <c r="X883" i="5" s="1"/>
  <c r="V884" i="5"/>
  <c r="E884" i="5"/>
  <c r="X884" i="5" s="1"/>
  <c r="V885" i="5"/>
  <c r="V886" i="5"/>
  <c r="V887" i="5"/>
  <c r="E887" i="5"/>
  <c r="X887" i="5" s="1"/>
  <c r="V888" i="5"/>
  <c r="E888" i="5"/>
  <c r="X888" i="5" s="1"/>
  <c r="V889" i="5"/>
  <c r="V890" i="5"/>
  <c r="V891" i="5"/>
  <c r="V892" i="5"/>
  <c r="E892" i="5"/>
  <c r="X892" i="5" s="1"/>
  <c r="V893" i="5"/>
  <c r="V894" i="5"/>
  <c r="V895" i="5"/>
  <c r="E895" i="5"/>
  <c r="X895" i="5" s="1"/>
  <c r="V896" i="5"/>
  <c r="V897" i="5"/>
  <c r="V898" i="5"/>
  <c r="V899" i="5"/>
  <c r="V900" i="5"/>
  <c r="E900" i="5"/>
  <c r="X900" i="5" s="1"/>
  <c r="V901" i="5"/>
  <c r="V902" i="5"/>
  <c r="V903" i="5"/>
  <c r="V904" i="5"/>
  <c r="V905" i="5"/>
  <c r="V906" i="5"/>
  <c r="V907" i="5"/>
  <c r="E907" i="5"/>
  <c r="X907" i="5" s="1"/>
  <c r="V908" i="5"/>
  <c r="V909" i="5"/>
  <c r="V910" i="5"/>
  <c r="V911" i="5"/>
  <c r="E911" i="5"/>
  <c r="X911" i="5" s="1"/>
  <c r="V912" i="5"/>
  <c r="E912" i="5"/>
  <c r="X912" i="5" s="1"/>
  <c r="V913" i="5"/>
  <c r="V914" i="5"/>
  <c r="E914" i="5"/>
  <c r="X914" i="5" s="1"/>
  <c r="V915" i="5"/>
  <c r="E915" i="5"/>
  <c r="X915" i="5" s="1"/>
  <c r="V916" i="5"/>
  <c r="E916" i="5"/>
  <c r="X916" i="5" s="1"/>
  <c r="V917" i="5"/>
  <c r="V918" i="5"/>
  <c r="E918" i="5"/>
  <c r="X918" i="5" s="1"/>
  <c r="V919" i="5"/>
  <c r="V920" i="5"/>
  <c r="V921" i="5"/>
  <c r="V922" i="5"/>
  <c r="V923" i="5"/>
  <c r="E923" i="5"/>
  <c r="X923" i="5" s="1"/>
  <c r="V924" i="5"/>
  <c r="V925" i="5"/>
  <c r="V926" i="5"/>
  <c r="V927" i="5"/>
  <c r="E927" i="5"/>
  <c r="X927" i="5" s="1"/>
  <c r="V928" i="5"/>
  <c r="E928" i="5"/>
  <c r="X928" i="5" s="1"/>
  <c r="V929" i="5"/>
  <c r="V930" i="5"/>
  <c r="E930" i="5"/>
  <c r="X930" i="5" s="1"/>
  <c r="V931" i="5"/>
  <c r="E931" i="5"/>
  <c r="X931" i="5" s="1"/>
  <c r="V932" i="5"/>
  <c r="E932" i="5"/>
  <c r="X932" i="5" s="1"/>
  <c r="V933" i="5"/>
  <c r="V934" i="5"/>
  <c r="V935" i="5"/>
  <c r="V936" i="5"/>
  <c r="V937" i="5"/>
  <c r="V938" i="5"/>
  <c r="V939" i="5"/>
  <c r="V940" i="5"/>
  <c r="V941" i="5"/>
  <c r="V942" i="5"/>
  <c r="V943" i="5"/>
  <c r="V944" i="5"/>
  <c r="V945" i="5"/>
  <c r="V946" i="5"/>
  <c r="V947" i="5"/>
  <c r="E947" i="5"/>
  <c r="X947" i="5" s="1"/>
  <c r="V948" i="5"/>
  <c r="V949" i="5"/>
  <c r="V950" i="5"/>
  <c r="V951" i="5"/>
  <c r="V952" i="5"/>
  <c r="E952" i="5"/>
  <c r="X952" i="5" s="1"/>
  <c r="V953" i="5"/>
  <c r="V954" i="5"/>
  <c r="V955" i="5"/>
  <c r="V956" i="5"/>
  <c r="E956" i="5"/>
  <c r="X956" i="5" s="1"/>
  <c r="V957" i="5"/>
  <c r="V958" i="5"/>
  <c r="V959" i="5"/>
  <c r="V960" i="5"/>
  <c r="E960" i="5"/>
  <c r="X960" i="5" s="1"/>
  <c r="V961" i="5"/>
  <c r="V962" i="5"/>
  <c r="V963" i="5"/>
  <c r="V964" i="5"/>
  <c r="E964" i="5"/>
  <c r="X964" i="5" s="1"/>
  <c r="V965" i="5"/>
  <c r="V966" i="5"/>
  <c r="V967" i="5"/>
  <c r="V968" i="5"/>
  <c r="E968" i="5"/>
  <c r="X968" i="5" s="1"/>
  <c r="V969" i="5"/>
  <c r="V970" i="5"/>
  <c r="E970" i="5"/>
  <c r="X970" i="5" s="1"/>
  <c r="V971" i="5"/>
  <c r="V972" i="5"/>
  <c r="E972" i="5"/>
  <c r="X972" i="5" s="1"/>
  <c r="V973" i="5"/>
  <c r="V974" i="5"/>
  <c r="V975" i="5"/>
  <c r="V976" i="5"/>
  <c r="E976" i="5"/>
  <c r="X976" i="5" s="1"/>
  <c r="V977" i="5"/>
  <c r="V978" i="5"/>
  <c r="V979" i="5"/>
  <c r="E979" i="5"/>
  <c r="X979" i="5" s="1"/>
  <c r="V980" i="5"/>
  <c r="E980" i="5"/>
  <c r="X980" i="5" s="1"/>
  <c r="V981" i="5"/>
  <c r="V982" i="5"/>
  <c r="V983" i="5"/>
  <c r="E983" i="5"/>
  <c r="X983" i="5" s="1"/>
  <c r="V984" i="5"/>
  <c r="E984" i="5"/>
  <c r="X984" i="5" s="1"/>
  <c r="V985" i="5"/>
  <c r="E985" i="5"/>
  <c r="X985" i="5" s="1"/>
  <c r="V986" i="5"/>
  <c r="E986" i="5"/>
  <c r="X986" i="5" s="1"/>
  <c r="V987" i="5"/>
  <c r="E987" i="5"/>
  <c r="X987" i="5" s="1"/>
  <c r="V988" i="5"/>
  <c r="E988" i="5"/>
  <c r="X988" i="5" s="1"/>
  <c r="V989" i="5"/>
  <c r="E989" i="5"/>
  <c r="X989" i="5" s="1"/>
  <c r="V990" i="5"/>
  <c r="V991" i="5"/>
  <c r="V992" i="5"/>
  <c r="E992" i="5"/>
  <c r="X992" i="5" s="1"/>
  <c r="V993" i="5"/>
  <c r="V994" i="5"/>
  <c r="V995" i="5"/>
  <c r="V996" i="5"/>
  <c r="E996" i="5"/>
  <c r="X996" i="5" s="1"/>
  <c r="V997" i="5"/>
  <c r="V998" i="5"/>
  <c r="V999" i="5"/>
  <c r="V1000" i="5"/>
  <c r="V1001" i="5"/>
  <c r="V1002" i="5"/>
  <c r="V1003" i="5"/>
  <c r="E1003" i="5"/>
  <c r="X1003" i="5" s="1"/>
  <c r="V1004" i="5"/>
  <c r="E1004" i="5"/>
  <c r="X1004" i="5" s="1"/>
  <c r="V1005" i="5"/>
  <c r="V1006" i="5"/>
  <c r="V1007" i="5"/>
  <c r="V1008" i="5"/>
  <c r="E1008" i="5"/>
  <c r="X1008" i="5" s="1"/>
  <c r="V1009" i="5"/>
  <c r="V1010" i="5"/>
  <c r="V1011" i="5"/>
  <c r="V1012" i="5"/>
  <c r="E1012" i="5"/>
  <c r="X1012" i="5" s="1"/>
  <c r="V1013" i="5"/>
  <c r="V1014" i="5"/>
  <c r="V1015" i="5"/>
  <c r="E1015" i="5"/>
  <c r="X1015" i="5" s="1"/>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G10" i="6" s="1"/>
  <c r="H10" i="6" s="1"/>
  <c r="D10" i="6" s="1"/>
  <c r="B9" i="6"/>
  <c r="B63" i="6"/>
  <c r="G63" i="6" s="1"/>
  <c r="B62" i="6"/>
  <c r="G62" i="6" s="1"/>
  <c r="B60" i="6"/>
  <c r="G60" i="6"/>
  <c r="B59" i="6"/>
  <c r="G59" i="6"/>
  <c r="B58" i="6"/>
  <c r="G58" i="6" s="1"/>
  <c r="B57" i="6"/>
  <c r="G57" i="6" s="1"/>
  <c r="B56" i="6"/>
  <c r="G56" i="6" s="1"/>
  <c r="B55" i="6"/>
  <c r="G55" i="6" s="1"/>
  <c r="B54" i="6"/>
  <c r="G54" i="6" s="1"/>
  <c r="B17" i="6"/>
  <c r="B22" i="6" s="1"/>
  <c r="B16" i="6"/>
  <c r="B21" i="6" s="1"/>
  <c r="B15" i="6"/>
  <c r="B14" i="6"/>
  <c r="G14" i="6"/>
  <c r="H14" i="6" s="1"/>
  <c r="H13" i="6"/>
  <c r="B12" i="6"/>
  <c r="G12" i="6" s="1"/>
  <c r="H12" i="6" s="1"/>
  <c r="D12" i="6" s="1"/>
  <c r="B11" i="6"/>
  <c r="G11" i="6" s="1"/>
  <c r="H11" i="6" s="1"/>
  <c r="D11" i="6" s="1"/>
  <c r="G9" i="6"/>
  <c r="H9" i="6" s="1"/>
  <c r="D9" i="6" s="1"/>
  <c r="B8" i="6"/>
  <c r="G8" i="6" s="1"/>
  <c r="H8" i="6" s="1"/>
  <c r="D8" i="6" s="1"/>
  <c r="B7" i="6"/>
  <c r="G7" i="6"/>
  <c r="H7" i="6" s="1"/>
  <c r="D7" i="6" s="1"/>
  <c r="B6" i="6"/>
  <c r="G6" i="6"/>
  <c r="B5" i="6"/>
  <c r="F64" i="6" s="1"/>
  <c r="F6" i="6"/>
  <c r="H6" i="6"/>
  <c r="B4" i="6"/>
  <c r="G4" i="6" s="1"/>
  <c r="H4" i="6" s="1"/>
  <c r="D4" i="6" s="1"/>
  <c r="S2492" i="5"/>
  <c r="B90" i="4"/>
  <c r="H67" i="4"/>
  <c r="P47" i="4"/>
  <c r="P46" i="4"/>
  <c r="P45" i="4"/>
  <c r="P44" i="4"/>
  <c r="B44" i="4" s="1"/>
  <c r="A29" i="6" s="1"/>
  <c r="P43" i="4"/>
  <c r="Q43" i="4" s="1"/>
  <c r="P41" i="4"/>
  <c r="P40" i="4"/>
  <c r="P39" i="4"/>
  <c r="B39" i="4" s="1"/>
  <c r="B57" i="4" s="1"/>
  <c r="A40" i="6" s="1"/>
  <c r="P38" i="4"/>
  <c r="P37" i="4"/>
  <c r="Q37" i="4" s="1"/>
  <c r="P35" i="4"/>
  <c r="P34" i="4"/>
  <c r="P33" i="4"/>
  <c r="P32" i="4"/>
  <c r="P31" i="4"/>
  <c r="Q31" i="4" s="1"/>
  <c r="P29" i="4"/>
  <c r="B29" i="4" s="1"/>
  <c r="P28" i="4"/>
  <c r="P27" i="4"/>
  <c r="P26" i="4"/>
  <c r="D11" i="4"/>
  <c r="A5" i="4"/>
  <c r="Q4" i="5"/>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F22" i="6"/>
  <c r="G5" i="6"/>
  <c r="H5" i="6"/>
  <c r="D5" i="6"/>
  <c r="G17" i="6"/>
  <c r="H17" i="6"/>
  <c r="G15" i="6"/>
  <c r="H15" i="6" s="1"/>
  <c r="B20" i="6"/>
  <c r="G20" i="6" s="1"/>
  <c r="B19" i="6"/>
  <c r="B39" i="6" s="1"/>
  <c r="G39" i="6" s="1"/>
  <c r="A38" i="2"/>
  <c r="J4" i="5"/>
  <c r="B41" i="4"/>
  <c r="B65" i="4" s="1"/>
  <c r="A47" i="6" s="1"/>
  <c r="A55" i="2"/>
  <c r="A73" i="2"/>
  <c r="B9" i="3"/>
  <c r="A3" i="2"/>
  <c r="A20" i="2"/>
  <c r="B17" i="3"/>
  <c r="B25" i="3"/>
  <c r="C20" i="3"/>
  <c r="A75" i="2"/>
  <c r="C25" i="3"/>
  <c r="N4" i="5"/>
  <c r="A43" i="2"/>
  <c r="C3" i="3"/>
  <c r="C19" i="3"/>
  <c r="P4" i="5"/>
  <c r="A45" i="2"/>
  <c r="C4" i="3"/>
  <c r="B26" i="4"/>
  <c r="A14" i="6" s="1"/>
  <c r="A12" i="2"/>
  <c r="A29" i="2"/>
  <c r="A46" i="2"/>
  <c r="A63" i="2"/>
  <c r="B5" i="3"/>
  <c r="B13" i="3"/>
  <c r="B21" i="3"/>
  <c r="B29" i="3"/>
  <c r="B9" i="4"/>
  <c r="A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74" i="4" s="1"/>
  <c r="A17" i="2"/>
  <c r="A34" i="2"/>
  <c r="A52" i="2"/>
  <c r="A70" i="2"/>
  <c r="C7" i="3"/>
  <c r="C15" i="3"/>
  <c r="C23" i="3"/>
  <c r="C31" i="3"/>
  <c r="B15" i="4"/>
  <c r="A7" i="6" s="1"/>
  <c r="B28" i="4"/>
  <c r="B34" i="4" s="1"/>
  <c r="A21" i="6" s="1"/>
  <c r="B40" i="4"/>
  <c r="B58" i="4" s="1"/>
  <c r="A41"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A15"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56" i="4" s="1"/>
  <c r="A39"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C5" i="6" s="1"/>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31" i="4" s="1"/>
  <c r="A4" i="5"/>
  <c r="I4" i="5"/>
  <c r="I14" i="6"/>
  <c r="I15" i="6"/>
  <c r="I16" i="6"/>
  <c r="I17" i="6"/>
  <c r="J24" i="6"/>
  <c r="I25" i="6"/>
  <c r="J36" i="6"/>
  <c r="I37" i="6"/>
  <c r="J44" i="6"/>
  <c r="I45" i="6"/>
  <c r="J52" i="6"/>
  <c r="J62" i="6"/>
  <c r="I63" i="6"/>
  <c r="I64" i="6"/>
  <c r="J65" i="6"/>
  <c r="I66" i="6"/>
  <c r="B61" i="1"/>
  <c r="F4" i="8"/>
  <c r="H4" i="8"/>
  <c r="I4" i="8"/>
  <c r="C4" i="8"/>
  <c r="S491" i="5"/>
  <c r="S511" i="5"/>
  <c r="S193" i="5"/>
  <c r="S203" i="5"/>
  <c r="S167" i="5"/>
  <c r="S247" i="5"/>
  <c r="S344" i="5"/>
  <c r="S397" i="5"/>
  <c r="S401" i="5"/>
  <c r="S409" i="5"/>
  <c r="S372" i="5"/>
  <c r="S437" i="5"/>
  <c r="S428" i="5"/>
  <c r="S452" i="5"/>
  <c r="S548" i="5"/>
  <c r="S377" i="5"/>
  <c r="S349" i="5"/>
  <c r="S539" i="5"/>
  <c r="S169" i="5"/>
  <c r="S177" i="5"/>
  <c r="S361" i="5"/>
  <c r="S219" i="5"/>
  <c r="S295" i="5"/>
  <c r="S417" i="5"/>
  <c r="S432" i="5"/>
  <c r="S560" i="5"/>
  <c r="S510" i="5"/>
  <c r="S341" i="5"/>
  <c r="S161" i="5"/>
  <c r="S171" i="5"/>
  <c r="S267" i="5"/>
  <c r="S275" i="5"/>
  <c r="S388" i="5"/>
  <c r="S429" i="5"/>
  <c r="S449" i="5"/>
  <c r="S457" i="5"/>
  <c r="S436" i="5"/>
  <c r="S190" i="5"/>
  <c r="S229" i="5"/>
  <c r="S237" i="5"/>
  <c r="S225" i="5"/>
  <c r="S179" i="5"/>
  <c r="S159" i="5"/>
  <c r="S183" i="5"/>
  <c r="S195" i="5"/>
  <c r="S223" i="5"/>
  <c r="S259" i="5"/>
  <c r="S416" i="5"/>
  <c r="S441" i="5"/>
  <c r="S572" i="5"/>
  <c r="S440" i="5"/>
  <c r="S568" i="5"/>
  <c r="S468" i="5"/>
  <c r="S257" i="5"/>
  <c r="S543" i="5"/>
  <c r="S408" i="5"/>
  <c r="S197" i="5"/>
  <c r="S187" i="5"/>
  <c r="S199" i="5"/>
  <c r="S352" i="5"/>
  <c r="S299" i="5"/>
  <c r="S389" i="5"/>
  <c r="S302" i="5"/>
  <c r="S404" i="5"/>
  <c r="S421" i="5"/>
  <c r="S464" i="5"/>
  <c r="S552" i="5"/>
  <c r="S586" i="5"/>
  <c r="S269" i="5"/>
  <c r="S479" i="5"/>
  <c r="S175" i="5"/>
  <c r="S49" i="5"/>
  <c r="S364" i="5"/>
  <c r="S304" i="5"/>
  <c r="S392" i="5"/>
  <c r="S348" i="5"/>
  <c r="S433" i="5"/>
  <c r="S444" i="5"/>
  <c r="S584" i="5"/>
  <c r="S99" i="5"/>
  <c r="S235" i="5"/>
  <c r="S271" i="5"/>
  <c r="S291" i="5"/>
  <c r="S396" i="5"/>
  <c r="S400" i="5"/>
  <c r="S405" i="5"/>
  <c r="S413" i="5"/>
  <c r="S453" i="5"/>
  <c r="S420" i="5"/>
  <c r="S448" i="5"/>
  <c r="S210"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R746" i="5"/>
  <c r="F262" i="5"/>
  <c r="F767" i="5"/>
  <c r="H746" i="5"/>
  <c r="H262" i="5"/>
  <c r="H562" i="5"/>
  <c r="F463" i="5"/>
  <c r="H574" i="5"/>
  <c r="I562" i="5"/>
  <c r="I574" i="5"/>
  <c r="J562" i="5"/>
  <c r="J297" i="5"/>
  <c r="I262" i="5"/>
  <c r="J872" i="5"/>
  <c r="F562" i="5"/>
  <c r="J574" i="5"/>
  <c r="R799" i="5"/>
  <c r="H576" i="5"/>
  <c r="F696" i="5"/>
  <c r="I644" i="5"/>
  <c r="H403" i="5"/>
  <c r="J403" i="5"/>
  <c r="F717" i="5"/>
  <c r="R775" i="5"/>
  <c r="R403" i="5"/>
  <c r="F799" i="5"/>
  <c r="F775" i="5"/>
  <c r="H799" i="5"/>
  <c r="H775" i="5"/>
  <c r="J391" i="5"/>
  <c r="F942" i="5"/>
  <c r="I799" i="5"/>
  <c r="I775" i="5"/>
  <c r="J602" i="5"/>
  <c r="H602" i="5"/>
  <c r="R891" i="5"/>
  <c r="I602"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979" i="5"/>
  <c r="F888" i="5"/>
  <c r="R730" i="5"/>
  <c r="F524" i="5"/>
  <c r="J580" i="5"/>
  <c r="I869" i="5"/>
  <c r="H730" i="5"/>
  <c r="H592" i="5"/>
  <c r="R411" i="5"/>
  <c r="H439" i="5"/>
  <c r="H411" i="5"/>
  <c r="I277" i="5"/>
  <c r="I730" i="5"/>
  <c r="R87" i="5"/>
  <c r="I524" i="5"/>
  <c r="R439" i="5"/>
  <c r="I293" i="5"/>
  <c r="J306" i="5"/>
  <c r="F875" i="5"/>
  <c r="R888" i="5"/>
  <c r="F783" i="5"/>
  <c r="R757" i="5"/>
  <c r="I588" i="5"/>
  <c r="R431" i="5"/>
  <c r="J435"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R71" i="5"/>
  <c r="I971" i="5"/>
  <c r="F971" i="5"/>
  <c r="I817" i="5"/>
  <c r="I330" i="5"/>
  <c r="J379" i="5"/>
  <c r="I303" i="5"/>
  <c r="H201" i="5"/>
  <c r="R971" i="5"/>
  <c r="H971" i="5"/>
  <c r="J817" i="5"/>
  <c r="R817" i="5"/>
  <c r="F303" i="5"/>
  <c r="I20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R103" i="5"/>
  <c r="R314" i="5"/>
  <c r="H314" i="5"/>
  <c r="H207" i="5"/>
  <c r="I207" i="5"/>
  <c r="F207" i="5"/>
  <c r="R330" i="5"/>
  <c r="H330" i="5"/>
  <c r="H891" i="5"/>
  <c r="H915" i="5"/>
  <c r="J608" i="5"/>
  <c r="I239" i="5"/>
  <c r="R239" i="5"/>
  <c r="F239" i="5"/>
  <c r="I391" i="5"/>
  <c r="F391" i="5"/>
  <c r="F915" i="5"/>
  <c r="H712" i="5"/>
  <c r="H427" i="5"/>
  <c r="H194" i="5"/>
  <c r="R43" i="5"/>
  <c r="R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R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B50" i="6"/>
  <c r="G50" i="6" s="1"/>
  <c r="G19" i="6"/>
  <c r="H19" i="6"/>
  <c r="D19" i="6" s="1"/>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R402" i="5"/>
  <c r="J402" i="5"/>
  <c r="I402" i="5"/>
  <c r="H402" i="5"/>
  <c r="F402" i="5"/>
  <c r="J204" i="5"/>
  <c r="H204" i="5"/>
  <c r="F204" i="5"/>
  <c r="I204" i="5"/>
  <c r="R204" i="5"/>
  <c r="R116" i="5"/>
  <c r="R104" i="5"/>
  <c r="D17"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R120" i="5"/>
  <c r="R140" i="5"/>
  <c r="J192" i="5"/>
  <c r="H192" i="5"/>
  <c r="F192" i="5"/>
  <c r="R192" i="5"/>
  <c r="I192" i="5"/>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R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R124" i="5"/>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R156" i="5"/>
  <c r="J308" i="5"/>
  <c r="R308" i="5"/>
  <c r="H308" i="5"/>
  <c r="F308" i="5"/>
  <c r="I308" i="5"/>
  <c r="R100" i="5"/>
  <c r="J312" i="5"/>
  <c r="F312" i="5"/>
  <c r="R312" i="5"/>
  <c r="I312" i="5"/>
  <c r="H312" i="5"/>
  <c r="J188" i="5"/>
  <c r="H188" i="5"/>
  <c r="F188" i="5"/>
  <c r="R188" i="5"/>
  <c r="I188"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R148" i="5"/>
  <c r="H984" i="5"/>
  <c r="F984" i="5"/>
  <c r="R984" i="5"/>
  <c r="J984" i="5"/>
  <c r="I984" i="5"/>
  <c r="X27" i="5"/>
  <c r="X43" i="5"/>
  <c r="X87" i="5"/>
  <c r="X103" i="5"/>
  <c r="I175" i="5"/>
  <c r="E175" i="5"/>
  <c r="X175" i="5" s="1"/>
  <c r="X19" i="5"/>
  <c r="X115" i="5"/>
  <c r="AB83" i="5"/>
  <c r="H814" i="5"/>
  <c r="E814" i="5"/>
  <c r="X814" i="5" s="1"/>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s="1"/>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s="1"/>
  <c r="R265" i="5"/>
  <c r="E265" i="5"/>
  <c r="X265" i="5" s="1"/>
  <c r="I314" i="5"/>
  <c r="E314" i="5"/>
  <c r="X314" i="5" s="1"/>
  <c r="AB95" i="5"/>
  <c r="AB464" i="5"/>
  <c r="AB837" i="5"/>
  <c r="AB874" i="5"/>
  <c r="AB966" i="5"/>
  <c r="I297" i="5"/>
  <c r="E297" i="5"/>
  <c r="X297" i="5" s="1"/>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R7" i="5"/>
  <c r="X7" i="5"/>
  <c r="R8" i="5"/>
  <c r="X8" i="5"/>
  <c r="V209" i="5"/>
  <c r="G209" i="5"/>
  <c r="R379" i="5"/>
  <c r="E379" i="5"/>
  <c r="X379" i="5" s="1"/>
  <c r="H423" i="5"/>
  <c r="E423" i="5"/>
  <c r="X423" i="5" s="1"/>
  <c r="X343" i="5"/>
  <c r="X40" i="5"/>
  <c r="X72" i="5"/>
  <c r="X344" i="5"/>
  <c r="AB19" i="5"/>
  <c r="AB25" i="5"/>
  <c r="AB27" i="5"/>
  <c r="AB28" i="5"/>
  <c r="AB31" i="5"/>
  <c r="AB33" i="5"/>
  <c r="AB35" i="5"/>
  <c r="AB38" i="5"/>
  <c r="AB39" i="5"/>
  <c r="AB41" i="5"/>
  <c r="G67" i="6" s="1"/>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AB116" i="5"/>
  <c r="AB119"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G68" i="6" s="1"/>
  <c r="V5" i="5"/>
  <c r="R5" i="5" s="1"/>
  <c r="R6" i="5"/>
  <c r="X6" i="5"/>
  <c r="R20" i="5"/>
  <c r="R28" i="5"/>
  <c r="R29" i="5"/>
  <c r="R40" i="5"/>
  <c r="R44" i="5"/>
  <c r="R48" i="5"/>
  <c r="R52" i="5"/>
  <c r="R56" i="5"/>
  <c r="R60" i="5"/>
  <c r="R64" i="5"/>
  <c r="R68" i="5"/>
  <c r="R76" i="5"/>
  <c r="R80" i="5"/>
  <c r="R84" i="5"/>
  <c r="R96" i="5"/>
  <c r="R106" i="5"/>
  <c r="R110" i="5"/>
  <c r="R114" i="5"/>
  <c r="X117" i="5"/>
  <c r="R117" i="5"/>
  <c r="R118" i="5"/>
  <c r="R125" i="5"/>
  <c r="R126" i="5"/>
  <c r="R130" i="5"/>
  <c r="R138" i="5"/>
  <c r="R142" i="5"/>
  <c r="R146" i="5"/>
  <c r="R149" i="5"/>
  <c r="R150" i="5"/>
  <c r="R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s="1"/>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s="1"/>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s="1"/>
  <c r="R331" i="5"/>
  <c r="F331" i="5"/>
  <c r="I331" i="5"/>
  <c r="H331" i="5"/>
  <c r="J331" i="5"/>
  <c r="R351" i="5"/>
  <c r="J351" i="5"/>
  <c r="E351" i="5"/>
  <c r="X351" i="5" s="1"/>
  <c r="H351" i="5"/>
  <c r="I351" i="5"/>
  <c r="F351" i="5"/>
  <c r="F352" i="5"/>
  <c r="I352" i="5"/>
  <c r="R352" i="5"/>
  <c r="J352" i="5"/>
  <c r="E352" i="5"/>
  <c r="X352" i="5" s="1"/>
  <c r="H352" i="5"/>
  <c r="E371" i="5"/>
  <c r="X371" i="5" s="1"/>
  <c r="H371" i="5"/>
  <c r="R371" i="5"/>
  <c r="F371" i="5"/>
  <c r="I371" i="5"/>
  <c r="J371" i="5"/>
  <c r="F383" i="5"/>
  <c r="I383" i="5"/>
  <c r="H383" i="5"/>
  <c r="J383" i="5"/>
  <c r="R383" i="5"/>
  <c r="E383" i="5"/>
  <c r="X383" i="5" s="1"/>
  <c r="J384" i="5"/>
  <c r="F384" i="5"/>
  <c r="H384" i="5"/>
  <c r="I384" i="5"/>
  <c r="E384" i="5"/>
  <c r="X384" i="5" s="1"/>
  <c r="R384" i="5"/>
  <c r="R407" i="5"/>
  <c r="E407" i="5"/>
  <c r="X407" i="5" s="1"/>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AB6" i="5"/>
  <c r="AB7" i="5"/>
  <c r="AB8" i="5"/>
  <c r="AB9" i="5"/>
  <c r="AB10" i="5"/>
  <c r="AB11" i="5"/>
  <c r="AB12" i="5"/>
  <c r="AB13" i="5"/>
  <c r="AB14" i="5"/>
  <c r="AB15" i="5"/>
  <c r="AB16" i="5"/>
  <c r="AB17" i="5"/>
  <c r="AB18" i="5"/>
  <c r="AB22" i="5"/>
  <c r="AB24" i="5"/>
  <c r="AB26" i="5"/>
  <c r="S29" i="5"/>
  <c r="AB30" i="5"/>
  <c r="AB32" i="5"/>
  <c r="S90" i="5"/>
  <c r="AB102" i="5"/>
  <c r="AB103" i="5"/>
  <c r="AB106" i="5"/>
  <c r="AB108" i="5"/>
  <c r="AB110" i="5"/>
  <c r="AB112" i="5"/>
  <c r="AB114" i="5"/>
  <c r="AB118" i="5"/>
  <c r="AB122" i="5"/>
  <c r="AB124" i="5"/>
  <c r="AB125" i="5"/>
  <c r="AB126" i="5"/>
  <c r="AB128" i="5"/>
  <c r="AB130" i="5"/>
  <c r="AB132" i="5"/>
  <c r="AB134" i="5"/>
  <c r="AB135" i="5"/>
  <c r="AB138" i="5"/>
  <c r="AB140" i="5"/>
  <c r="AB142" i="5"/>
  <c r="AB144" i="5"/>
  <c r="AB146" i="5"/>
  <c r="AB150" i="5"/>
  <c r="AB154" i="5"/>
  <c r="AB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H1020" i="5"/>
  <c r="F1020" i="5"/>
  <c r="G1020" i="5"/>
  <c r="R1020" i="5"/>
  <c r="I1020" i="5"/>
  <c r="J1020" i="5"/>
  <c r="E1020" i="5"/>
  <c r="X1020" i="5" s="1"/>
  <c r="G1021" i="5"/>
  <c r="R1021" i="5"/>
  <c r="F1021" i="5"/>
  <c r="H1021" i="5"/>
  <c r="I1021" i="5"/>
  <c r="J1021" i="5"/>
  <c r="E1021" i="5"/>
  <c r="X1021" i="5" s="1"/>
  <c r="G1022" i="5"/>
  <c r="I1022" i="5"/>
  <c r="J1022" i="5"/>
  <c r="R1022" i="5"/>
  <c r="F1022" i="5"/>
  <c r="H1022" i="5"/>
  <c r="E1022" i="5"/>
  <c r="X1022"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G1029" i="5"/>
  <c r="F1029" i="5"/>
  <c r="R1029" i="5"/>
  <c r="H1029" i="5"/>
  <c r="I1029" i="5"/>
  <c r="J1029" i="5"/>
  <c r="E1029" i="5"/>
  <c r="X1029" i="5" s="1"/>
  <c r="G1030" i="5"/>
  <c r="F1030" i="5"/>
  <c r="H1030" i="5"/>
  <c r="I1030" i="5"/>
  <c r="J1030" i="5"/>
  <c r="R1030" i="5"/>
  <c r="E1030" i="5"/>
  <c r="X1030" i="5" s="1"/>
  <c r="G1031" i="5"/>
  <c r="R1031" i="5"/>
  <c r="I1031" i="5"/>
  <c r="J1031" i="5"/>
  <c r="H1031" i="5"/>
  <c r="F1031" i="5"/>
  <c r="E1031" i="5"/>
  <c r="X1031" i="5" s="1"/>
  <c r="R1032" i="5"/>
  <c r="J1032" i="5"/>
  <c r="H1032" i="5"/>
  <c r="G1032" i="5"/>
  <c r="F1032" i="5"/>
  <c r="I1032" i="5"/>
  <c r="E1032" i="5"/>
  <c r="X1032"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R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2" i="5"/>
  <c r="F1042" i="5"/>
  <c r="H1042" i="5"/>
  <c r="I1042" i="5"/>
  <c r="J1042" i="5"/>
  <c r="R1042" i="5"/>
  <c r="E1042" i="5"/>
  <c r="X1042" i="5" s="1"/>
  <c r="G1043" i="5"/>
  <c r="R1043" i="5"/>
  <c r="I1043" i="5"/>
  <c r="F1043" i="5"/>
  <c r="H1043" i="5"/>
  <c r="J1043" i="5"/>
  <c r="E1043" i="5"/>
  <c r="X1043" i="5" s="1"/>
  <c r="R1044" i="5"/>
  <c r="G1044" i="5"/>
  <c r="H1044" i="5"/>
  <c r="J1044" i="5"/>
  <c r="I1044" i="5"/>
  <c r="F1044" i="5"/>
  <c r="E1044" i="5"/>
  <c r="X1044" i="5" s="1"/>
  <c r="G1045" i="5"/>
  <c r="H1045" i="5"/>
  <c r="I1045" i="5"/>
  <c r="J1045" i="5"/>
  <c r="F1045" i="5"/>
  <c r="R1045" i="5"/>
  <c r="E1045" i="5"/>
  <c r="X1045" i="5" s="1"/>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R1056" i="5"/>
  <c r="H1056" i="5"/>
  <c r="F1056" i="5"/>
  <c r="G1056" i="5"/>
  <c r="I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R1065" i="5"/>
  <c r="J1065" i="5"/>
  <c r="F1065" i="5"/>
  <c r="H1065" i="5"/>
  <c r="I1065" i="5"/>
  <c r="E1065" i="5"/>
  <c r="X1065" i="5" s="1"/>
  <c r="G1066" i="5"/>
  <c r="I1066" i="5"/>
  <c r="J1066" i="5"/>
  <c r="R1066" i="5"/>
  <c r="F1066" i="5"/>
  <c r="H1066" i="5"/>
  <c r="E1066" i="5"/>
  <c r="X1066" i="5" s="1"/>
  <c r="I1067" i="5"/>
  <c r="H1067" i="5"/>
  <c r="G1067" i="5"/>
  <c r="R1067" i="5"/>
  <c r="J1067" i="5"/>
  <c r="F1067" i="5"/>
  <c r="E1067" i="5"/>
  <c r="X1067" i="5" s="1"/>
  <c r="V1068" i="5"/>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6" i="5"/>
  <c r="J1076" i="5"/>
  <c r="I1076" i="5"/>
  <c r="R1076" i="5"/>
  <c r="F1076" i="5"/>
  <c r="H1076" i="5"/>
  <c r="E1076" i="5"/>
  <c r="X1076"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I1084" i="5"/>
  <c r="J1084" i="5"/>
  <c r="H1084" i="5"/>
  <c r="G1084" i="5"/>
  <c r="R1084" i="5"/>
  <c r="F1084" i="5"/>
  <c r="E1084" i="5"/>
  <c r="X1084" i="5" s="1"/>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G1093" i="5"/>
  <c r="H1093" i="5"/>
  <c r="I1093" i="5"/>
  <c r="J1093" i="5"/>
  <c r="F1093" i="5"/>
  <c r="R1093" i="5"/>
  <c r="E1093" i="5"/>
  <c r="X1093" i="5" s="1"/>
  <c r="G1094" i="5"/>
  <c r="I1094" i="5"/>
  <c r="J1094" i="5"/>
  <c r="R1094" i="5"/>
  <c r="F1094" i="5"/>
  <c r="H1094" i="5"/>
  <c r="E1094" i="5"/>
  <c r="X1094"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G1098" i="5"/>
  <c r="I1098" i="5"/>
  <c r="J1098" i="5"/>
  <c r="R1098" i="5"/>
  <c r="H1098" i="5"/>
  <c r="F1098" i="5"/>
  <c r="E1098" i="5"/>
  <c r="X1098" i="5" s="1"/>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G1112" i="5"/>
  <c r="J1112" i="5"/>
  <c r="I1112" i="5"/>
  <c r="F1112" i="5"/>
  <c r="E1112" i="5"/>
  <c r="X1112" i="5" s="1"/>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H1122" i="5"/>
  <c r="I1122" i="5"/>
  <c r="J1122" i="5"/>
  <c r="R1122" i="5"/>
  <c r="E1122" i="5"/>
  <c r="X1122" i="5" s="1"/>
  <c r="F1123" i="5"/>
  <c r="I1123" i="5"/>
  <c r="H1123" i="5"/>
  <c r="G1123" i="5"/>
  <c r="J1123" i="5"/>
  <c r="R1123" i="5"/>
  <c r="E1123" i="5"/>
  <c r="X1123" i="5" s="1"/>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F1131" i="5"/>
  <c r="H1131" i="5"/>
  <c r="G1131" i="5"/>
  <c r="J1131" i="5"/>
  <c r="R1131" i="5"/>
  <c r="I1131" i="5"/>
  <c r="E1131" i="5"/>
  <c r="X1131" i="5" s="1"/>
  <c r="G1132" i="5"/>
  <c r="F1132" i="5"/>
  <c r="H1132" i="5"/>
  <c r="J1132" i="5"/>
  <c r="I1132" i="5"/>
  <c r="R1132" i="5"/>
  <c r="E1132" i="5"/>
  <c r="X1132" i="5" s="1"/>
  <c r="F1133" i="5"/>
  <c r="I1133" i="5"/>
  <c r="G1133" i="5"/>
  <c r="H1133" i="5"/>
  <c r="J1133" i="5"/>
  <c r="R1133" i="5"/>
  <c r="E1133" i="5"/>
  <c r="X1133"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I1141" i="5"/>
  <c r="G1141" i="5"/>
  <c r="J1141" i="5"/>
  <c r="H1141" i="5"/>
  <c r="R1141" i="5"/>
  <c r="F1141" i="5"/>
  <c r="E1141" i="5"/>
  <c r="X1141" i="5" s="1"/>
  <c r="G1142" i="5"/>
  <c r="I1142" i="5"/>
  <c r="J1142" i="5"/>
  <c r="R1142" i="5"/>
  <c r="F1142" i="5"/>
  <c r="H1142" i="5"/>
  <c r="E1142" i="5"/>
  <c r="X1142" i="5" s="1"/>
  <c r="G1143" i="5"/>
  <c r="R1143" i="5"/>
  <c r="F1143" i="5"/>
  <c r="H1143" i="5"/>
  <c r="I1143" i="5"/>
  <c r="J1143" i="5"/>
  <c r="E1143" i="5"/>
  <c r="X1143" i="5" s="1"/>
  <c r="V1144" i="5"/>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F1151" i="5"/>
  <c r="I1151" i="5"/>
  <c r="J1151" i="5"/>
  <c r="R1151" i="5"/>
  <c r="H1151" i="5"/>
  <c r="E1151" i="5"/>
  <c r="X1151" i="5" s="1"/>
  <c r="G1152" i="5"/>
  <c r="F1152" i="5"/>
  <c r="R1152" i="5"/>
  <c r="I1152" i="5"/>
  <c r="H1152" i="5"/>
  <c r="J1152" i="5"/>
  <c r="E1152" i="5"/>
  <c r="X1152" i="5" s="1"/>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J1162" i="5"/>
  <c r="I1162" i="5"/>
  <c r="R1162" i="5"/>
  <c r="F1162" i="5"/>
  <c r="G1162" i="5"/>
  <c r="H1162" i="5"/>
  <c r="E1162" i="5"/>
  <c r="X1162" i="5" s="1"/>
  <c r="G1163" i="5"/>
  <c r="R1163" i="5"/>
  <c r="F1163" i="5"/>
  <c r="I1163" i="5"/>
  <c r="J1163" i="5"/>
  <c r="H1163" i="5"/>
  <c r="E1163" i="5"/>
  <c r="X1163"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G1169" i="5"/>
  <c r="J1169" i="5"/>
  <c r="H1169" i="5"/>
  <c r="R1169" i="5"/>
  <c r="I1169" i="5"/>
  <c r="F1169" i="5"/>
  <c r="E1169" i="5"/>
  <c r="X1169" i="5" s="1"/>
  <c r="V1170" i="5"/>
  <c r="I1171" i="5"/>
  <c r="H1171" i="5"/>
  <c r="R1171" i="5"/>
  <c r="G1171" i="5"/>
  <c r="J1171" i="5"/>
  <c r="F1171" i="5"/>
  <c r="E1171" i="5"/>
  <c r="X1171" i="5" s="1"/>
  <c r="G1172" i="5"/>
  <c r="F1172" i="5"/>
  <c r="H1172" i="5"/>
  <c r="R1172" i="5"/>
  <c r="I1172" i="5"/>
  <c r="J1172" i="5"/>
  <c r="E1172" i="5"/>
  <c r="X1172"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5" i="5"/>
  <c r="F1185" i="5"/>
  <c r="H1185" i="5"/>
  <c r="I1185" i="5"/>
  <c r="R1185" i="5"/>
  <c r="J1185" i="5"/>
  <c r="E1185" i="5"/>
  <c r="X1185" i="5" s="1"/>
  <c r="G1186" i="5"/>
  <c r="F1186" i="5"/>
  <c r="I1186" i="5"/>
  <c r="H1186" i="5"/>
  <c r="R1186" i="5"/>
  <c r="J1186" i="5"/>
  <c r="E1186" i="5"/>
  <c r="X1186" i="5" s="1"/>
  <c r="G1187" i="5"/>
  <c r="I1187" i="5"/>
  <c r="J1187" i="5"/>
  <c r="R1187" i="5"/>
  <c r="H1187" i="5"/>
  <c r="F1187" i="5"/>
  <c r="E1187" i="5"/>
  <c r="X1187" i="5" s="1"/>
  <c r="V1188" i="5"/>
  <c r="V1189" i="5"/>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H1198" i="5"/>
  <c r="I1198" i="5"/>
  <c r="G1198" i="5"/>
  <c r="J1198" i="5"/>
  <c r="F1198" i="5"/>
  <c r="R1198" i="5"/>
  <c r="E1198" i="5"/>
  <c r="X1198" i="5" s="1"/>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G1213" i="5"/>
  <c r="J1213" i="5"/>
  <c r="F1213" i="5"/>
  <c r="H1213" i="5"/>
  <c r="R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7" i="5"/>
  <c r="F1217" i="5"/>
  <c r="H1217" i="5"/>
  <c r="I1217" i="5"/>
  <c r="R1217" i="5"/>
  <c r="J1217" i="5"/>
  <c r="E1217" i="5"/>
  <c r="X1217"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R1224" i="5"/>
  <c r="J1224" i="5"/>
  <c r="G1224" i="5"/>
  <c r="H1224" i="5"/>
  <c r="F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F1235" i="5"/>
  <c r="J1235" i="5"/>
  <c r="R1235" i="5"/>
  <c r="G1235" i="5"/>
  <c r="I1235" i="5"/>
  <c r="H1235" i="5"/>
  <c r="E1235" i="5"/>
  <c r="X1235"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G1268" i="5"/>
  <c r="F1268" i="5"/>
  <c r="I1268" i="5"/>
  <c r="J1268" i="5"/>
  <c r="R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F1276" i="5"/>
  <c r="I1276" i="5"/>
  <c r="J1276" i="5"/>
  <c r="R1276" i="5"/>
  <c r="H1276" i="5"/>
  <c r="E1276" i="5"/>
  <c r="X1276" i="5" s="1"/>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R1285" i="5"/>
  <c r="F1285" i="5"/>
  <c r="H1285" i="5"/>
  <c r="E1285" i="5"/>
  <c r="X1285" i="5" s="1"/>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R1550" i="5"/>
  <c r="J1550" i="5"/>
  <c r="H1550" i="5"/>
  <c r="F1550" i="5"/>
  <c r="G1550" i="5"/>
  <c r="I1550" i="5"/>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G1677" i="5"/>
  <c r="R1677" i="5"/>
  <c r="J1677" i="5"/>
  <c r="H1677" i="5"/>
  <c r="I1677" i="5"/>
  <c r="F1677" i="5"/>
  <c r="E1677" i="5"/>
  <c r="X1677"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G1683" i="5"/>
  <c r="F1683" i="5"/>
  <c r="H1683" i="5"/>
  <c r="I1683" i="5"/>
  <c r="J1683" i="5"/>
  <c r="R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G1692" i="5"/>
  <c r="H1692" i="5"/>
  <c r="I1692" i="5"/>
  <c r="J1692" i="5"/>
  <c r="R1692" i="5"/>
  <c r="F1692" i="5"/>
  <c r="E1692" i="5"/>
  <c r="X1692" i="5" s="1"/>
  <c r="J1693" i="5"/>
  <c r="H1693" i="5"/>
  <c r="F1693" i="5"/>
  <c r="G1693" i="5"/>
  <c r="R1693" i="5"/>
  <c r="I1693" i="5"/>
  <c r="E1693" i="5"/>
  <c r="X1693" i="5" s="1"/>
  <c r="J1694" i="5"/>
  <c r="H1694" i="5"/>
  <c r="F1694" i="5"/>
  <c r="R1694" i="5"/>
  <c r="G1694" i="5"/>
  <c r="I1694" i="5"/>
  <c r="E1694" i="5"/>
  <c r="X1694" i="5" s="1"/>
  <c r="G1695" i="5"/>
  <c r="F1695" i="5"/>
  <c r="H1695" i="5"/>
  <c r="I1695" i="5"/>
  <c r="J1695" i="5"/>
  <c r="R1695" i="5"/>
  <c r="E1695" i="5"/>
  <c r="X1695" i="5" s="1"/>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R1710" i="5"/>
  <c r="H1710" i="5"/>
  <c r="F1710" i="5"/>
  <c r="G1710" i="5"/>
  <c r="I1710" i="5"/>
  <c r="J1710" i="5"/>
  <c r="E1710" i="5"/>
  <c r="X1710" i="5" s="1"/>
  <c r="J1711" i="5"/>
  <c r="R1711" i="5"/>
  <c r="G1711" i="5"/>
  <c r="I1711" i="5"/>
  <c r="F1711" i="5"/>
  <c r="H1711" i="5"/>
  <c r="E1711" i="5"/>
  <c r="X1711" i="5" s="1"/>
  <c r="F1712" i="5"/>
  <c r="R1712" i="5"/>
  <c r="J1712" i="5"/>
  <c r="G1712" i="5"/>
  <c r="H1712" i="5"/>
  <c r="I1712" i="5"/>
  <c r="E1712" i="5"/>
  <c r="X1712" i="5" s="1"/>
  <c r="F1713" i="5"/>
  <c r="I1713" i="5"/>
  <c r="G1713" i="5"/>
  <c r="J1713" i="5"/>
  <c r="H1713" i="5"/>
  <c r="R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G1723" i="5"/>
  <c r="H1723" i="5"/>
  <c r="F1723" i="5"/>
  <c r="I1723" i="5"/>
  <c r="R1723" i="5"/>
  <c r="J1723" i="5"/>
  <c r="E1723" i="5"/>
  <c r="X1723"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F1736" i="5"/>
  <c r="J1736" i="5"/>
  <c r="R1736" i="5"/>
  <c r="I1736" i="5"/>
  <c r="E1736" i="5"/>
  <c r="X1736" i="5" s="1"/>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J1744" i="5"/>
  <c r="H1744" i="5"/>
  <c r="F1744" i="5"/>
  <c r="I1744" i="5"/>
  <c r="E1744" i="5"/>
  <c r="X1744" i="5" s="1"/>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G1749" i="5"/>
  <c r="H1749" i="5"/>
  <c r="F1749" i="5"/>
  <c r="J1749" i="5"/>
  <c r="I1749" i="5"/>
  <c r="R1749" i="5"/>
  <c r="E1749" i="5"/>
  <c r="X1749"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G1753" i="5"/>
  <c r="I1753" i="5"/>
  <c r="R1753" i="5"/>
  <c r="J1753" i="5"/>
  <c r="F1753" i="5"/>
  <c r="H1753" i="5"/>
  <c r="E1753" i="5"/>
  <c r="X1753" i="5" s="1"/>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G1766" i="5"/>
  <c r="H1766" i="5"/>
  <c r="J1766" i="5"/>
  <c r="I1766" i="5"/>
  <c r="R1766" i="5"/>
  <c r="F1766" i="5"/>
  <c r="E1766" i="5"/>
  <c r="X1766" i="5" s="1"/>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I1771" i="5"/>
  <c r="J1771" i="5"/>
  <c r="G1771" i="5"/>
  <c r="R1771" i="5"/>
  <c r="F1771" i="5"/>
  <c r="H1771" i="5"/>
  <c r="E1771" i="5"/>
  <c r="X1771" i="5" s="1"/>
  <c r="G1772" i="5"/>
  <c r="H1772" i="5"/>
  <c r="I1772" i="5"/>
  <c r="F1772" i="5"/>
  <c r="J1772" i="5"/>
  <c r="R1772" i="5"/>
  <c r="E1772" i="5"/>
  <c r="X1772" i="5" s="1"/>
  <c r="G1773" i="5"/>
  <c r="F1773" i="5"/>
  <c r="H1773" i="5"/>
  <c r="I1773" i="5"/>
  <c r="J1773" i="5"/>
  <c r="R1773" i="5"/>
  <c r="E1773" i="5"/>
  <c r="X1773" i="5" s="1"/>
  <c r="H1774" i="5"/>
  <c r="F1774" i="5"/>
  <c r="G1774" i="5"/>
  <c r="R1774" i="5"/>
  <c r="J1774" i="5"/>
  <c r="I1774" i="5"/>
  <c r="E1774" i="5"/>
  <c r="X1774"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R1783" i="5"/>
  <c r="H1783" i="5"/>
  <c r="F1783" i="5"/>
  <c r="J1783" i="5"/>
  <c r="G1783" i="5"/>
  <c r="I1783" i="5"/>
  <c r="E1783" i="5"/>
  <c r="X1783"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89" i="5"/>
  <c r="H1789" i="5"/>
  <c r="I1789" i="5"/>
  <c r="J1789" i="5"/>
  <c r="R1789" i="5"/>
  <c r="F1789" i="5"/>
  <c r="E1789" i="5"/>
  <c r="X1789"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I1797" i="5"/>
  <c r="J1797" i="5"/>
  <c r="R1797" i="5"/>
  <c r="F1797" i="5"/>
  <c r="E1797" i="5"/>
  <c r="X1797" i="5" s="1"/>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G1808" i="5"/>
  <c r="F1808" i="5"/>
  <c r="H1808" i="5"/>
  <c r="I1808" i="5"/>
  <c r="J1808" i="5"/>
  <c r="R1808" i="5"/>
  <c r="E1808" i="5"/>
  <c r="X1808"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H1818" i="5"/>
  <c r="J1818" i="5"/>
  <c r="I1818" i="5"/>
  <c r="R1818" i="5"/>
  <c r="E1818" i="5"/>
  <c r="X1818" i="5" s="1"/>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F1826" i="5"/>
  <c r="I1826" i="5"/>
  <c r="R1826" i="5"/>
  <c r="H1826" i="5"/>
  <c r="G1826" i="5"/>
  <c r="J1826" i="5"/>
  <c r="E1826" i="5"/>
  <c r="X1826" i="5" s="1"/>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E1837" i="5"/>
  <c r="X1837" i="5" s="1"/>
  <c r="F1838" i="5"/>
  <c r="G1838" i="5"/>
  <c r="J1838" i="5"/>
  <c r="H1838" i="5"/>
  <c r="I1838" i="5"/>
  <c r="R1838" i="5"/>
  <c r="E1838" i="5"/>
  <c r="X1838" i="5" s="1"/>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E1845" i="5"/>
  <c r="X1845" i="5" s="1"/>
  <c r="I1846" i="5"/>
  <c r="R1846" i="5"/>
  <c r="H1846" i="5"/>
  <c r="G1846" i="5"/>
  <c r="J1846" i="5"/>
  <c r="F1846" i="5"/>
  <c r="E1846" i="5"/>
  <c r="X1846" i="5" s="1"/>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E1855" i="5"/>
  <c r="X1855" i="5" s="1"/>
  <c r="G1856" i="5"/>
  <c r="I1856" i="5"/>
  <c r="R1856" i="5"/>
  <c r="H1856" i="5"/>
  <c r="J1856" i="5"/>
  <c r="F1856" i="5"/>
  <c r="E1856" i="5"/>
  <c r="X1856" i="5" s="1"/>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I1865" i="5"/>
  <c r="G1865" i="5"/>
  <c r="J1865" i="5"/>
  <c r="F1865" i="5"/>
  <c r="H1865" i="5"/>
  <c r="R1865" i="5"/>
  <c r="E1865" i="5"/>
  <c r="X1865"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J1872" i="5"/>
  <c r="F1872" i="5"/>
  <c r="R1872" i="5"/>
  <c r="I1872" i="5"/>
  <c r="H1872" i="5"/>
  <c r="G1872" i="5"/>
  <c r="E1872" i="5"/>
  <c r="X1872" i="5" s="1"/>
  <c r="G1873" i="5"/>
  <c r="H1873" i="5"/>
  <c r="F1873" i="5"/>
  <c r="R1873" i="5"/>
  <c r="J1873" i="5"/>
  <c r="I1873" i="5"/>
  <c r="E1873" i="5"/>
  <c r="X1873" i="5" s="1"/>
  <c r="J1874" i="5"/>
  <c r="G1874" i="5"/>
  <c r="F1874" i="5"/>
  <c r="I1874" i="5"/>
  <c r="H1874" i="5"/>
  <c r="R1874" i="5"/>
  <c r="E1874" i="5"/>
  <c r="X1874"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G1882" i="5"/>
  <c r="F1882" i="5"/>
  <c r="I1882" i="5"/>
  <c r="J1882" i="5"/>
  <c r="H1882" i="5"/>
  <c r="R1882" i="5"/>
  <c r="E1882" i="5"/>
  <c r="X1882" i="5" s="1"/>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G1891" i="5"/>
  <c r="F1891" i="5"/>
  <c r="I1891" i="5"/>
  <c r="J1891" i="5"/>
  <c r="H1891" i="5"/>
  <c r="R1891" i="5"/>
  <c r="E1891" i="5"/>
  <c r="X1891" i="5" s="1"/>
  <c r="I1892" i="5"/>
  <c r="R1892" i="5"/>
  <c r="G1892" i="5"/>
  <c r="H1892" i="5"/>
  <c r="F1892" i="5"/>
  <c r="J1892" i="5"/>
  <c r="E1892" i="5"/>
  <c r="X1892"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H1917" i="5"/>
  <c r="G1917" i="5"/>
  <c r="F1917" i="5"/>
  <c r="I1917" i="5"/>
  <c r="J1917" i="5"/>
  <c r="R1917" i="5"/>
  <c r="E1917" i="5"/>
  <c r="X1917"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s="1"/>
  <c r="G1922" i="5"/>
  <c r="J1922" i="5"/>
  <c r="R1922" i="5"/>
  <c r="F1922" i="5"/>
  <c r="H1922" i="5"/>
  <c r="I1922" i="5"/>
  <c r="E1922" i="5"/>
  <c r="X1922" i="5" s="1"/>
  <c r="G1923" i="5"/>
  <c r="F1923" i="5"/>
  <c r="I1923" i="5"/>
  <c r="H1923" i="5"/>
  <c r="J1923" i="5"/>
  <c r="R1923" i="5"/>
  <c r="E1923" i="5"/>
  <c r="X1923" i="5" s="1"/>
  <c r="G1924" i="5"/>
  <c r="F1924" i="5"/>
  <c r="H1924" i="5"/>
  <c r="J1924" i="5"/>
  <c r="R1924" i="5"/>
  <c r="I1924" i="5"/>
  <c r="E1924" i="5"/>
  <c r="X1924" i="5" s="1"/>
  <c r="J1925" i="5"/>
  <c r="G1925" i="5"/>
  <c r="R1925" i="5"/>
  <c r="I1925" i="5"/>
  <c r="F1925" i="5"/>
  <c r="H1925" i="5"/>
  <c r="E1925" i="5"/>
  <c r="X1925" i="5" s="1"/>
  <c r="I1926" i="5"/>
  <c r="H1926" i="5"/>
  <c r="F1926" i="5"/>
  <c r="J1926" i="5"/>
  <c r="G1926" i="5"/>
  <c r="R1926" i="5"/>
  <c r="E1926" i="5"/>
  <c r="X1926" i="5" s="1"/>
  <c r="G1927" i="5"/>
  <c r="H1927" i="5"/>
  <c r="I1927" i="5"/>
  <c r="J1927" i="5"/>
  <c r="R1927" i="5"/>
  <c r="F1927" i="5"/>
  <c r="E1927" i="5"/>
  <c r="X1927" i="5" s="1"/>
  <c r="I1928" i="5"/>
  <c r="G1928" i="5"/>
  <c r="F1928" i="5"/>
  <c r="H1928" i="5"/>
  <c r="J1928" i="5"/>
  <c r="R1928" i="5"/>
  <c r="E1928" i="5"/>
  <c r="X1928" i="5" s="1"/>
  <c r="H1929" i="5"/>
  <c r="R1929" i="5"/>
  <c r="I1929" i="5"/>
  <c r="G1929" i="5"/>
  <c r="J1929" i="5"/>
  <c r="F1929" i="5"/>
  <c r="E1929" i="5"/>
  <c r="X1929" i="5" s="1"/>
  <c r="F1930" i="5"/>
  <c r="G1930" i="5"/>
  <c r="H1930" i="5"/>
  <c r="J1930" i="5"/>
  <c r="I1930" i="5"/>
  <c r="R1930" i="5"/>
  <c r="E1930" i="5"/>
  <c r="X1930" i="5" s="1"/>
  <c r="H1931" i="5"/>
  <c r="G1931" i="5"/>
  <c r="F1931" i="5"/>
  <c r="I1931" i="5"/>
  <c r="R1931" i="5"/>
  <c r="J1931" i="5"/>
  <c r="E1931" i="5"/>
  <c r="X1931" i="5" s="1"/>
  <c r="F1932" i="5"/>
  <c r="G1932" i="5"/>
  <c r="H1932" i="5"/>
  <c r="J1932" i="5"/>
  <c r="R1932" i="5"/>
  <c r="I1932" i="5"/>
  <c r="E1932" i="5"/>
  <c r="X1932" i="5" s="1"/>
  <c r="G1933" i="5"/>
  <c r="F1933" i="5"/>
  <c r="H1933" i="5"/>
  <c r="I1933" i="5"/>
  <c r="R1933" i="5"/>
  <c r="J1933" i="5"/>
  <c r="E1933" i="5"/>
  <c r="X1933" i="5" s="1"/>
  <c r="R1934" i="5"/>
  <c r="F1934" i="5"/>
  <c r="I1934" i="5"/>
  <c r="J1934" i="5"/>
  <c r="G1934" i="5"/>
  <c r="H1934" i="5"/>
  <c r="E1934" i="5"/>
  <c r="X1934" i="5" s="1"/>
  <c r="G1935" i="5"/>
  <c r="F1935" i="5"/>
  <c r="H1935" i="5"/>
  <c r="I1935" i="5"/>
  <c r="J1935" i="5"/>
  <c r="R1935" i="5"/>
  <c r="E1935" i="5"/>
  <c r="X1935" i="5" s="1"/>
  <c r="R1936" i="5"/>
  <c r="F1936" i="5"/>
  <c r="J1936" i="5"/>
  <c r="H1936" i="5"/>
  <c r="I1936" i="5"/>
  <c r="G1936" i="5"/>
  <c r="E1936" i="5"/>
  <c r="X1936" i="5" s="1"/>
  <c r="G1937" i="5"/>
  <c r="J1937" i="5"/>
  <c r="R1937" i="5"/>
  <c r="F1937" i="5"/>
  <c r="I1937" i="5"/>
  <c r="H1937" i="5"/>
  <c r="E1937" i="5"/>
  <c r="X1937" i="5" s="1"/>
  <c r="R1938" i="5"/>
  <c r="J1938" i="5"/>
  <c r="I1938" i="5"/>
  <c r="G1938" i="5"/>
  <c r="H1938" i="5"/>
  <c r="F1938" i="5"/>
  <c r="E1938" i="5"/>
  <c r="X1938" i="5" s="1"/>
  <c r="G1939" i="5"/>
  <c r="H1939" i="5"/>
  <c r="I1939" i="5"/>
  <c r="J1939" i="5"/>
  <c r="R1939" i="5"/>
  <c r="F1939" i="5"/>
  <c r="E1939" i="5"/>
  <c r="X1939" i="5" s="1"/>
  <c r="G1940" i="5"/>
  <c r="H1940" i="5"/>
  <c r="R1940" i="5"/>
  <c r="J1940" i="5"/>
  <c r="F1940" i="5"/>
  <c r="I1940" i="5"/>
  <c r="E1940" i="5"/>
  <c r="X1940" i="5" s="1"/>
  <c r="J1941" i="5"/>
  <c r="H1941" i="5"/>
  <c r="R1941" i="5"/>
  <c r="I1941" i="5"/>
  <c r="G1941" i="5"/>
  <c r="F1941" i="5"/>
  <c r="E1941" i="5"/>
  <c r="X1941" i="5" s="1"/>
  <c r="J1942" i="5"/>
  <c r="I1942" i="5"/>
  <c r="F1942" i="5"/>
  <c r="H1942" i="5"/>
  <c r="G1942" i="5"/>
  <c r="R1942" i="5"/>
  <c r="E1942" i="5"/>
  <c r="X1942" i="5" s="1"/>
  <c r="G1943" i="5"/>
  <c r="F1943" i="5"/>
  <c r="H1943" i="5"/>
  <c r="I1943" i="5"/>
  <c r="J1943" i="5"/>
  <c r="R1943" i="5"/>
  <c r="E1943" i="5"/>
  <c r="X1943" i="5" s="1"/>
  <c r="G1944" i="5"/>
  <c r="F1944" i="5"/>
  <c r="H1944" i="5"/>
  <c r="I1944" i="5"/>
  <c r="J1944" i="5"/>
  <c r="R1944" i="5"/>
  <c r="E1944" i="5"/>
  <c r="X1944" i="5" s="1"/>
  <c r="G1945" i="5"/>
  <c r="F1945" i="5"/>
  <c r="H1945" i="5"/>
  <c r="I1945" i="5"/>
  <c r="J1945" i="5"/>
  <c r="R1945" i="5"/>
  <c r="E1945" i="5"/>
  <c r="X1945" i="5" s="1"/>
  <c r="J1946" i="5"/>
  <c r="H1946" i="5"/>
  <c r="R1946" i="5"/>
  <c r="F1946" i="5"/>
  <c r="G1946" i="5"/>
  <c r="I1946" i="5"/>
  <c r="E1946" i="5"/>
  <c r="X1946" i="5" s="1"/>
  <c r="J1947" i="5"/>
  <c r="F1947" i="5"/>
  <c r="R1947" i="5"/>
  <c r="G1947" i="5"/>
  <c r="I1947" i="5"/>
  <c r="H1947" i="5"/>
  <c r="E1947" i="5"/>
  <c r="X1947" i="5" s="1"/>
  <c r="G1948" i="5"/>
  <c r="H1948" i="5"/>
  <c r="F1948" i="5"/>
  <c r="J1948" i="5"/>
  <c r="R1948" i="5"/>
  <c r="I1948" i="5"/>
  <c r="E1948" i="5"/>
  <c r="X1948" i="5" s="1"/>
  <c r="H1949" i="5"/>
  <c r="R1949" i="5"/>
  <c r="F1949" i="5"/>
  <c r="J1949" i="5"/>
  <c r="G1949" i="5"/>
  <c r="I1949" i="5"/>
  <c r="E1949" i="5"/>
  <c r="X1949" i="5" s="1"/>
  <c r="H1950" i="5"/>
  <c r="J1950" i="5"/>
  <c r="I1950" i="5"/>
  <c r="G1950" i="5"/>
  <c r="R1950" i="5"/>
  <c r="F1950" i="5"/>
  <c r="E1950" i="5"/>
  <c r="X1950" i="5" s="1"/>
  <c r="R1951" i="5"/>
  <c r="I1951" i="5"/>
  <c r="F1951" i="5"/>
  <c r="H1951" i="5"/>
  <c r="J1951" i="5"/>
  <c r="G1951" i="5"/>
  <c r="E1951" i="5"/>
  <c r="X1951" i="5" s="1"/>
  <c r="H1952" i="5"/>
  <c r="G1952" i="5"/>
  <c r="F1952" i="5"/>
  <c r="R1952" i="5"/>
  <c r="I1952" i="5"/>
  <c r="J1952" i="5"/>
  <c r="E1952" i="5"/>
  <c r="X1952" i="5" s="1"/>
  <c r="F1953" i="5"/>
  <c r="H1953" i="5"/>
  <c r="G1953" i="5"/>
  <c r="J1953" i="5"/>
  <c r="R1953" i="5"/>
  <c r="I1953" i="5"/>
  <c r="E1953" i="5"/>
  <c r="X1953" i="5" s="1"/>
  <c r="I1954" i="5"/>
  <c r="F1954" i="5"/>
  <c r="G1954" i="5"/>
  <c r="J1954" i="5"/>
  <c r="H1954" i="5"/>
  <c r="R1954" i="5"/>
  <c r="E1954" i="5"/>
  <c r="X1954" i="5" s="1"/>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s="1"/>
  <c r="R1958" i="5"/>
  <c r="H1958" i="5"/>
  <c r="F1958" i="5"/>
  <c r="J1958" i="5"/>
  <c r="G1958" i="5"/>
  <c r="I1958" i="5"/>
  <c r="E1958" i="5"/>
  <c r="X1958" i="5" s="1"/>
  <c r="J1959" i="5"/>
  <c r="I1959" i="5"/>
  <c r="H1959" i="5"/>
  <c r="F1959" i="5"/>
  <c r="G1959" i="5"/>
  <c r="R1959" i="5"/>
  <c r="E1959" i="5"/>
  <c r="X1959" i="5" s="1"/>
  <c r="F1960" i="5"/>
  <c r="H1960" i="5"/>
  <c r="G1960" i="5"/>
  <c r="I1960" i="5"/>
  <c r="R1960" i="5"/>
  <c r="J1960" i="5"/>
  <c r="E1960" i="5"/>
  <c r="X1960" i="5" s="1"/>
  <c r="G1961" i="5"/>
  <c r="J1961" i="5"/>
  <c r="F1961" i="5"/>
  <c r="I1961" i="5"/>
  <c r="H1961" i="5"/>
  <c r="R1961" i="5"/>
  <c r="E1961" i="5"/>
  <c r="X1961" i="5" s="1"/>
  <c r="G1962" i="5"/>
  <c r="F1962" i="5"/>
  <c r="H1962" i="5"/>
  <c r="I1962" i="5"/>
  <c r="J1962" i="5"/>
  <c r="R1962" i="5"/>
  <c r="E1962" i="5"/>
  <c r="X1962" i="5" s="1"/>
  <c r="G1963" i="5"/>
  <c r="F1963" i="5"/>
  <c r="H1963" i="5"/>
  <c r="I1963" i="5"/>
  <c r="J1963" i="5"/>
  <c r="R1963" i="5"/>
  <c r="E1963" i="5"/>
  <c r="X1963" i="5" s="1"/>
  <c r="G1964" i="5"/>
  <c r="F1964" i="5"/>
  <c r="I1964" i="5"/>
  <c r="H1964" i="5"/>
  <c r="R1964" i="5"/>
  <c r="J1964" i="5"/>
  <c r="E1964" i="5"/>
  <c r="X1964" i="5" s="1"/>
  <c r="H1965" i="5"/>
  <c r="F1965" i="5"/>
  <c r="G1965" i="5"/>
  <c r="R1965" i="5"/>
  <c r="I1965" i="5"/>
  <c r="J1965" i="5"/>
  <c r="E1965" i="5"/>
  <c r="X1965" i="5" s="1"/>
  <c r="G1966" i="5"/>
  <c r="J1966" i="5"/>
  <c r="H1966" i="5"/>
  <c r="I1966" i="5"/>
  <c r="F1966" i="5"/>
  <c r="R1966" i="5"/>
  <c r="E1966" i="5"/>
  <c r="X1966" i="5" s="1"/>
  <c r="J1967" i="5"/>
  <c r="G1967" i="5"/>
  <c r="I1967" i="5"/>
  <c r="F1967" i="5"/>
  <c r="H1967" i="5"/>
  <c r="R1967" i="5"/>
  <c r="E1967" i="5"/>
  <c r="X1967" i="5" s="1"/>
  <c r="G1968" i="5"/>
  <c r="H1968" i="5"/>
  <c r="I1968" i="5"/>
  <c r="R1968" i="5"/>
  <c r="J1968" i="5"/>
  <c r="F1968" i="5"/>
  <c r="E1968" i="5"/>
  <c r="X1968" i="5" s="1"/>
  <c r="I1969" i="5"/>
  <c r="G1969" i="5"/>
  <c r="F1969" i="5"/>
  <c r="R1969" i="5"/>
  <c r="J1969" i="5"/>
  <c r="H1969" i="5"/>
  <c r="E1969" i="5"/>
  <c r="X1969" i="5" s="1"/>
  <c r="R1970" i="5"/>
  <c r="F1970" i="5"/>
  <c r="I1970" i="5"/>
  <c r="H1970" i="5"/>
  <c r="G1970" i="5"/>
  <c r="J1970" i="5"/>
  <c r="E1970" i="5"/>
  <c r="X1970" i="5" s="1"/>
  <c r="G1971" i="5"/>
  <c r="F1971" i="5"/>
  <c r="H1971" i="5"/>
  <c r="I1971" i="5"/>
  <c r="J1971" i="5"/>
  <c r="R1971" i="5"/>
  <c r="E1971" i="5"/>
  <c r="X1971" i="5" s="1"/>
  <c r="F1972" i="5"/>
  <c r="G1972" i="5"/>
  <c r="R1972" i="5"/>
  <c r="J1972" i="5"/>
  <c r="I1972" i="5"/>
  <c r="H1972" i="5"/>
  <c r="E1972" i="5"/>
  <c r="X1972" i="5" s="1"/>
  <c r="G1973" i="5"/>
  <c r="F1973" i="5"/>
  <c r="R1973" i="5"/>
  <c r="I1973" i="5"/>
  <c r="H1973" i="5"/>
  <c r="J1973" i="5"/>
  <c r="E1973" i="5"/>
  <c r="X1973" i="5" s="1"/>
  <c r="I1974" i="5"/>
  <c r="R1974" i="5"/>
  <c r="H1974" i="5"/>
  <c r="G1974" i="5"/>
  <c r="F1974" i="5"/>
  <c r="J1974" i="5"/>
  <c r="E1974" i="5"/>
  <c r="X1974" i="5" s="1"/>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s="1"/>
  <c r="F1978" i="5"/>
  <c r="I1978" i="5"/>
  <c r="G1978" i="5"/>
  <c r="J1978" i="5"/>
  <c r="R1978" i="5"/>
  <c r="H1978" i="5"/>
  <c r="E1978" i="5"/>
  <c r="X1978" i="5" s="1"/>
  <c r="G1979" i="5"/>
  <c r="H1979" i="5"/>
  <c r="I1979" i="5"/>
  <c r="J1979" i="5"/>
  <c r="R1979" i="5"/>
  <c r="F1979" i="5"/>
  <c r="E1979" i="5"/>
  <c r="X1979" i="5" s="1"/>
  <c r="H1980" i="5"/>
  <c r="G1980" i="5"/>
  <c r="I1980" i="5"/>
  <c r="F1980" i="5"/>
  <c r="R1980" i="5"/>
  <c r="J1980" i="5"/>
  <c r="E1980" i="5"/>
  <c r="X1980" i="5" s="1"/>
  <c r="I1981" i="5"/>
  <c r="F1981" i="5"/>
  <c r="G1981" i="5"/>
  <c r="H1981" i="5"/>
  <c r="R1981" i="5"/>
  <c r="J1981" i="5"/>
  <c r="E1981" i="5"/>
  <c r="X1981" i="5" s="1"/>
  <c r="G1982" i="5"/>
  <c r="R1982" i="5"/>
  <c r="F1982" i="5"/>
  <c r="J1982" i="5"/>
  <c r="I1982" i="5"/>
  <c r="H1982" i="5"/>
  <c r="E1982" i="5"/>
  <c r="X1982" i="5" s="1"/>
  <c r="G1983" i="5"/>
  <c r="F1983" i="5"/>
  <c r="H1983" i="5"/>
  <c r="I1983" i="5"/>
  <c r="J1983" i="5"/>
  <c r="R1983" i="5"/>
  <c r="E1983" i="5"/>
  <c r="X1983" i="5" s="1"/>
  <c r="F1984" i="5"/>
  <c r="I1984" i="5"/>
  <c r="G1984" i="5"/>
  <c r="R1984" i="5"/>
  <c r="J1984" i="5"/>
  <c r="H1984" i="5"/>
  <c r="E1984" i="5"/>
  <c r="X1984" i="5" s="1"/>
  <c r="I1985" i="5"/>
  <c r="F1985" i="5"/>
  <c r="J1985" i="5"/>
  <c r="G1985" i="5"/>
  <c r="H1985" i="5"/>
  <c r="R1985" i="5"/>
  <c r="E1985" i="5"/>
  <c r="X1985" i="5" s="1"/>
  <c r="I1986" i="5"/>
  <c r="J1986" i="5"/>
  <c r="H1986" i="5"/>
  <c r="R1986" i="5"/>
  <c r="G1986" i="5"/>
  <c r="F1986" i="5"/>
  <c r="E1986" i="5"/>
  <c r="X1986" i="5" s="1"/>
  <c r="G1987" i="5"/>
  <c r="H1987" i="5"/>
  <c r="I1987" i="5"/>
  <c r="J1987" i="5"/>
  <c r="R1987" i="5"/>
  <c r="F1987" i="5"/>
  <c r="E1987" i="5"/>
  <c r="X1987" i="5" s="1"/>
  <c r="F1988" i="5"/>
  <c r="H1988" i="5"/>
  <c r="I1988" i="5"/>
  <c r="G1988" i="5"/>
  <c r="R1988" i="5"/>
  <c r="J1988" i="5"/>
  <c r="E1988" i="5"/>
  <c r="X1988" i="5" s="1"/>
  <c r="G1989" i="5"/>
  <c r="F1989" i="5"/>
  <c r="R1989" i="5"/>
  <c r="I1989" i="5"/>
  <c r="J1989" i="5"/>
  <c r="H1989" i="5"/>
  <c r="E1989" i="5"/>
  <c r="X1989" i="5" s="1"/>
  <c r="F1990" i="5"/>
  <c r="H1990" i="5"/>
  <c r="R1990" i="5"/>
  <c r="G1990" i="5"/>
  <c r="I1990" i="5"/>
  <c r="J1990" i="5"/>
  <c r="E1990" i="5"/>
  <c r="X1990" i="5" s="1"/>
  <c r="G1991" i="5"/>
  <c r="H1991" i="5"/>
  <c r="I1991" i="5"/>
  <c r="J1991" i="5"/>
  <c r="R1991" i="5"/>
  <c r="F1991" i="5"/>
  <c r="E1991" i="5"/>
  <c r="X1991" i="5" s="1"/>
  <c r="H1992" i="5"/>
  <c r="G1992" i="5"/>
  <c r="R1992" i="5"/>
  <c r="J1992" i="5"/>
  <c r="F1992" i="5"/>
  <c r="I1992" i="5"/>
  <c r="E1992" i="5"/>
  <c r="X1992" i="5" s="1"/>
  <c r="F1993" i="5"/>
  <c r="G1993" i="5"/>
  <c r="H1993" i="5"/>
  <c r="I1993" i="5"/>
  <c r="R1993" i="5"/>
  <c r="J1993" i="5"/>
  <c r="E1993" i="5"/>
  <c r="X1993" i="5" s="1"/>
  <c r="R1994" i="5"/>
  <c r="I1994" i="5"/>
  <c r="H1994" i="5"/>
  <c r="G1994" i="5"/>
  <c r="J1994" i="5"/>
  <c r="F1994" i="5"/>
  <c r="E1994" i="5"/>
  <c r="X1994" i="5" s="1"/>
  <c r="G1995" i="5"/>
  <c r="F1995" i="5"/>
  <c r="H1995" i="5"/>
  <c r="I1995" i="5"/>
  <c r="J1995" i="5"/>
  <c r="R1995" i="5"/>
  <c r="E1995" i="5"/>
  <c r="X1995" i="5" s="1"/>
  <c r="F1996" i="5"/>
  <c r="I1996" i="5"/>
  <c r="G1996" i="5"/>
  <c r="H1996" i="5"/>
  <c r="R1996" i="5"/>
  <c r="J1996" i="5"/>
  <c r="E1996" i="5"/>
  <c r="X1996" i="5" s="1"/>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s="1"/>
  <c r="G2000" i="5"/>
  <c r="F2000" i="5"/>
  <c r="R2000" i="5"/>
  <c r="J2000" i="5"/>
  <c r="H2000" i="5"/>
  <c r="I2000" i="5"/>
  <c r="E2000" i="5"/>
  <c r="X2000" i="5" s="1"/>
  <c r="G2001" i="5"/>
  <c r="H2001" i="5"/>
  <c r="F2001" i="5"/>
  <c r="R2001" i="5"/>
  <c r="I2001" i="5"/>
  <c r="J2001" i="5"/>
  <c r="E2001" i="5"/>
  <c r="X2001" i="5" s="1"/>
  <c r="R2002" i="5"/>
  <c r="I2002" i="5"/>
  <c r="G2002" i="5"/>
  <c r="H2002" i="5"/>
  <c r="F2002" i="5"/>
  <c r="J2002" i="5"/>
  <c r="E2002" i="5"/>
  <c r="X2002" i="5" s="1"/>
  <c r="G2003" i="5"/>
  <c r="F2003" i="5"/>
  <c r="H2003" i="5"/>
  <c r="I2003" i="5"/>
  <c r="J2003" i="5"/>
  <c r="R2003" i="5"/>
  <c r="E2003" i="5"/>
  <c r="X2003" i="5" s="1"/>
  <c r="F2004" i="5"/>
  <c r="H2004" i="5"/>
  <c r="G2004" i="5"/>
  <c r="R2004" i="5"/>
  <c r="J2004" i="5"/>
  <c r="I2004" i="5"/>
  <c r="E2004" i="5"/>
  <c r="X2004" i="5" s="1"/>
  <c r="J2005" i="5"/>
  <c r="G2005" i="5"/>
  <c r="H2005" i="5"/>
  <c r="R2005" i="5"/>
  <c r="I2005" i="5"/>
  <c r="F2005" i="5"/>
  <c r="E2005" i="5"/>
  <c r="X2005" i="5" s="1"/>
  <c r="H2006" i="5"/>
  <c r="F2006" i="5"/>
  <c r="G2006" i="5"/>
  <c r="I2006" i="5"/>
  <c r="R2006" i="5"/>
  <c r="J2006" i="5"/>
  <c r="E2006" i="5"/>
  <c r="X2006" i="5" s="1"/>
  <c r="G2007" i="5"/>
  <c r="F2007" i="5"/>
  <c r="H2007" i="5"/>
  <c r="I2007" i="5"/>
  <c r="J2007" i="5"/>
  <c r="R2007" i="5"/>
  <c r="E2007" i="5"/>
  <c r="X2007" i="5" s="1"/>
  <c r="H2008" i="5"/>
  <c r="F2008" i="5"/>
  <c r="G2008" i="5"/>
  <c r="R2008" i="5"/>
  <c r="J2008" i="5"/>
  <c r="I2008" i="5"/>
  <c r="E2008" i="5"/>
  <c r="X2008" i="5" s="1"/>
  <c r="G2009" i="5"/>
  <c r="F2009" i="5"/>
  <c r="J2009" i="5"/>
  <c r="I2009" i="5"/>
  <c r="H2009" i="5"/>
  <c r="R2009" i="5"/>
  <c r="E2009" i="5"/>
  <c r="X2009" i="5" s="1"/>
  <c r="I2010" i="5"/>
  <c r="R2010" i="5"/>
  <c r="F2010" i="5"/>
  <c r="G2010" i="5"/>
  <c r="J2010" i="5"/>
  <c r="H2010" i="5"/>
  <c r="E2010" i="5"/>
  <c r="X2010" i="5" s="1"/>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s="1"/>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s="1"/>
  <c r="I2017" i="5"/>
  <c r="R2017" i="5"/>
  <c r="F2017" i="5"/>
  <c r="G2017" i="5"/>
  <c r="H2017" i="5"/>
  <c r="J2017" i="5"/>
  <c r="E2017" i="5"/>
  <c r="X2017" i="5" s="1"/>
  <c r="H2018" i="5"/>
  <c r="J2018" i="5"/>
  <c r="I2018" i="5"/>
  <c r="G2018" i="5"/>
  <c r="F2018" i="5"/>
  <c r="R2018" i="5"/>
  <c r="E2018" i="5"/>
  <c r="X2018" i="5" s="1"/>
  <c r="G2019" i="5"/>
  <c r="H2019" i="5"/>
  <c r="I2019" i="5"/>
  <c r="J2019" i="5"/>
  <c r="R2019" i="5"/>
  <c r="F2019" i="5"/>
  <c r="E2019" i="5"/>
  <c r="X2019" i="5" s="1"/>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s="1"/>
  <c r="G2024" i="5"/>
  <c r="F2024" i="5"/>
  <c r="R2024" i="5"/>
  <c r="J2024" i="5"/>
  <c r="H2024" i="5"/>
  <c r="I2024" i="5"/>
  <c r="E2024" i="5"/>
  <c r="X2024" i="5" s="1"/>
  <c r="R2025" i="5"/>
  <c r="G2025" i="5"/>
  <c r="J2025" i="5"/>
  <c r="F2025" i="5"/>
  <c r="H2025" i="5"/>
  <c r="I2025" i="5"/>
  <c r="E2025" i="5"/>
  <c r="X2025" i="5" s="1"/>
  <c r="I2026" i="5"/>
  <c r="G2026" i="5"/>
  <c r="R2026" i="5"/>
  <c r="F2026" i="5"/>
  <c r="H2026" i="5"/>
  <c r="J2026" i="5"/>
  <c r="E2026" i="5"/>
  <c r="X2026" i="5" s="1"/>
  <c r="G2027" i="5"/>
  <c r="F2027" i="5"/>
  <c r="H2027" i="5"/>
  <c r="I2027" i="5"/>
  <c r="J2027" i="5"/>
  <c r="R2027" i="5"/>
  <c r="E2027" i="5"/>
  <c r="X2027" i="5" s="1"/>
  <c r="F2028" i="5"/>
  <c r="H2028" i="5"/>
  <c r="I2028" i="5"/>
  <c r="G2028" i="5"/>
  <c r="R2028" i="5"/>
  <c r="J2028" i="5"/>
  <c r="E2028" i="5"/>
  <c r="X2028" i="5" s="1"/>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s="1"/>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s="1"/>
  <c r="G2035" i="5"/>
  <c r="I2035" i="5"/>
  <c r="R2035" i="5"/>
  <c r="H2035" i="5"/>
  <c r="F2035" i="5"/>
  <c r="J2035" i="5"/>
  <c r="E2035" i="5"/>
  <c r="X2035" i="5" s="1"/>
  <c r="F2036" i="5"/>
  <c r="G2036" i="5"/>
  <c r="H2036" i="5"/>
  <c r="I2036" i="5"/>
  <c r="R2036" i="5"/>
  <c r="J2036" i="5"/>
  <c r="E2036" i="5"/>
  <c r="X2036" i="5" s="1"/>
  <c r="G2037" i="5"/>
  <c r="J2037" i="5"/>
  <c r="F2037" i="5"/>
  <c r="H2037" i="5"/>
  <c r="R2037" i="5"/>
  <c r="I2037" i="5"/>
  <c r="E2037" i="5"/>
  <c r="X2037" i="5" s="1"/>
  <c r="H2038" i="5"/>
  <c r="J2038" i="5"/>
  <c r="R2038" i="5"/>
  <c r="G2038" i="5"/>
  <c r="F2038" i="5"/>
  <c r="I2038" i="5"/>
  <c r="E2038" i="5"/>
  <c r="X2038" i="5" s="1"/>
  <c r="G2039" i="5"/>
  <c r="F2039" i="5"/>
  <c r="H2039" i="5"/>
  <c r="I2039" i="5"/>
  <c r="J2039" i="5"/>
  <c r="R2039" i="5"/>
  <c r="E2039" i="5"/>
  <c r="X2039"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s="1"/>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E2049" i="5"/>
  <c r="X2049" i="5" s="1"/>
  <c r="H2050" i="5"/>
  <c r="F2050" i="5"/>
  <c r="G2050" i="5"/>
  <c r="J2050" i="5"/>
  <c r="I2050" i="5"/>
  <c r="R2050" i="5"/>
  <c r="E2050" i="5"/>
  <c r="X2050" i="5" s="1"/>
  <c r="G2051" i="5"/>
  <c r="F2051" i="5"/>
  <c r="J2051" i="5"/>
  <c r="R2051" i="5"/>
  <c r="H2051" i="5"/>
  <c r="I2051" i="5"/>
  <c r="E2051" i="5"/>
  <c r="X2051" i="5" s="1"/>
  <c r="I2052" i="5"/>
  <c r="J2052" i="5"/>
  <c r="H2052" i="5"/>
  <c r="R2052" i="5"/>
  <c r="F2052" i="5"/>
  <c r="G2052" i="5"/>
  <c r="E2052" i="5"/>
  <c r="X2052" i="5" s="1"/>
  <c r="V2053" i="5"/>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58" i="5"/>
  <c r="R2058" i="5"/>
  <c r="J2058" i="5"/>
  <c r="I2058" i="5"/>
  <c r="H2058" i="5"/>
  <c r="G2058" i="5"/>
  <c r="E2058" i="5"/>
  <c r="X2058" i="5" s="1"/>
  <c r="G2059" i="5"/>
  <c r="F2059" i="5"/>
  <c r="J2059" i="5"/>
  <c r="R2059" i="5"/>
  <c r="H2059" i="5"/>
  <c r="I2059" i="5"/>
  <c r="E2059" i="5"/>
  <c r="X2059" i="5" s="1"/>
  <c r="F2060" i="5"/>
  <c r="H2060" i="5"/>
  <c r="G2060" i="5"/>
  <c r="J2060" i="5"/>
  <c r="I2060" i="5"/>
  <c r="R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J2073" i="5"/>
  <c r="F2073" i="5"/>
  <c r="H2073" i="5"/>
  <c r="R2073" i="5"/>
  <c r="E2073" i="5"/>
  <c r="X2073" i="5" s="1"/>
  <c r="I2074" i="5"/>
  <c r="H2074" i="5"/>
  <c r="J2074" i="5"/>
  <c r="R2074" i="5"/>
  <c r="G2074" i="5"/>
  <c r="F2074" i="5"/>
  <c r="E2074" i="5"/>
  <c r="X2074" i="5" s="1"/>
  <c r="V2075" i="5"/>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F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R2094" i="5"/>
  <c r="I2094" i="5"/>
  <c r="H2094" i="5"/>
  <c r="J2094" i="5"/>
  <c r="F2094" i="5"/>
  <c r="G2094" i="5"/>
  <c r="E2094" i="5"/>
  <c r="X2094" i="5" s="1"/>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J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J2114" i="5"/>
  <c r="R2114" i="5"/>
  <c r="I2114" i="5"/>
  <c r="G2114" i="5"/>
  <c r="F2114" i="5"/>
  <c r="H2114" i="5"/>
  <c r="E2114" i="5"/>
  <c r="X2114"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R2127" i="5"/>
  <c r="F2127" i="5"/>
  <c r="I2127" i="5"/>
  <c r="G2127" i="5"/>
  <c r="H2127" i="5"/>
  <c r="J2127" i="5"/>
  <c r="E2127" i="5"/>
  <c r="X2127"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R2140" i="5"/>
  <c r="G2140" i="5"/>
  <c r="I2140" i="5"/>
  <c r="F2140" i="5"/>
  <c r="J2140" i="5"/>
  <c r="H2140" i="5"/>
  <c r="E2140" i="5"/>
  <c r="X2140"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8" i="5"/>
  <c r="R2168" i="5"/>
  <c r="H2168" i="5"/>
  <c r="J2168" i="5"/>
  <c r="G2168" i="5"/>
  <c r="I2168" i="5"/>
  <c r="E2168" i="5"/>
  <c r="X2168"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H2173" i="5"/>
  <c r="J2173" i="5"/>
  <c r="I2173" i="5"/>
  <c r="R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s="1"/>
  <c r="F2222" i="5"/>
  <c r="J2222" i="5"/>
  <c r="G2222" i="5"/>
  <c r="R2222" i="5"/>
  <c r="I2222" i="5"/>
  <c r="H2222" i="5"/>
  <c r="E2222" i="5"/>
  <c r="X2222" i="5" s="1"/>
  <c r="R2223" i="5"/>
  <c r="G2223" i="5"/>
  <c r="F2223" i="5"/>
  <c r="J2223" i="5"/>
  <c r="H2223" i="5"/>
  <c r="I2223" i="5"/>
  <c r="E2223" i="5"/>
  <c r="X2223" i="5" s="1"/>
  <c r="G2224" i="5"/>
  <c r="H2224" i="5"/>
  <c r="I2224" i="5"/>
  <c r="F2224" i="5"/>
  <c r="J2224" i="5"/>
  <c r="R2224" i="5"/>
  <c r="E2224" i="5"/>
  <c r="X2224" i="5" s="1"/>
  <c r="G2225" i="5"/>
  <c r="H2225" i="5"/>
  <c r="R2225" i="5"/>
  <c r="F2225" i="5"/>
  <c r="I2225" i="5"/>
  <c r="J2225" i="5"/>
  <c r="E2225" i="5"/>
  <c r="X2225" i="5" s="1"/>
  <c r="J2226" i="5"/>
  <c r="H2226" i="5"/>
  <c r="F2226" i="5"/>
  <c r="I2226" i="5"/>
  <c r="G2226" i="5"/>
  <c r="R2226" i="5"/>
  <c r="E2226" i="5"/>
  <c r="X2226" i="5" s="1"/>
  <c r="G2227" i="5"/>
  <c r="F2227" i="5"/>
  <c r="J2227" i="5"/>
  <c r="R2227" i="5"/>
  <c r="H2227" i="5"/>
  <c r="I2227" i="5"/>
  <c r="E2227" i="5"/>
  <c r="X2227" i="5" s="1"/>
  <c r="G2228" i="5"/>
  <c r="F2228" i="5"/>
  <c r="H2228" i="5"/>
  <c r="I2228" i="5"/>
  <c r="J2228" i="5"/>
  <c r="R2228" i="5"/>
  <c r="E2228" i="5"/>
  <c r="X2228" i="5" s="1"/>
  <c r="H2229" i="5"/>
  <c r="J2229" i="5"/>
  <c r="G2229" i="5"/>
  <c r="R2229" i="5"/>
  <c r="I2229" i="5"/>
  <c r="F2229" i="5"/>
  <c r="E2229" i="5"/>
  <c r="X2229" i="5" s="1"/>
  <c r="G2230" i="5"/>
  <c r="I2230" i="5"/>
  <c r="J2230" i="5"/>
  <c r="R2230" i="5"/>
  <c r="F2230" i="5"/>
  <c r="H2230" i="5"/>
  <c r="E2230" i="5"/>
  <c r="X2230" i="5" s="1"/>
  <c r="G2231" i="5"/>
  <c r="R2231" i="5"/>
  <c r="F2231" i="5"/>
  <c r="H2231" i="5"/>
  <c r="I2231" i="5"/>
  <c r="J2231" i="5"/>
  <c r="E2231" i="5"/>
  <c r="X2231" i="5" s="1"/>
  <c r="I2232" i="5"/>
  <c r="F2232" i="5"/>
  <c r="G2232" i="5"/>
  <c r="R2232" i="5"/>
  <c r="H2232" i="5"/>
  <c r="J2232" i="5"/>
  <c r="E2232" i="5"/>
  <c r="X2232" i="5" s="1"/>
  <c r="R2233" i="5"/>
  <c r="H2233" i="5"/>
  <c r="G2233" i="5"/>
  <c r="J2233" i="5"/>
  <c r="F2233" i="5"/>
  <c r="I2233" i="5"/>
  <c r="E2233" i="5"/>
  <c r="X2233" i="5" s="1"/>
  <c r="H2234" i="5"/>
  <c r="F2234" i="5"/>
  <c r="G2234" i="5"/>
  <c r="R2234" i="5"/>
  <c r="J2234" i="5"/>
  <c r="I2234" i="5"/>
  <c r="E2234" i="5"/>
  <c r="X2234" i="5" s="1"/>
  <c r="I2235" i="5"/>
  <c r="H2235" i="5"/>
  <c r="G2235" i="5"/>
  <c r="F2235" i="5"/>
  <c r="R2235" i="5"/>
  <c r="J2235" i="5"/>
  <c r="E2235" i="5"/>
  <c r="X2235" i="5" s="1"/>
  <c r="H2236" i="5"/>
  <c r="G2236" i="5"/>
  <c r="F2236" i="5"/>
  <c r="I2236" i="5"/>
  <c r="J2236" i="5"/>
  <c r="R2236" i="5"/>
  <c r="E2236" i="5"/>
  <c r="X2236" i="5" s="1"/>
  <c r="G2237" i="5"/>
  <c r="F2237" i="5"/>
  <c r="J2237" i="5"/>
  <c r="R2237" i="5"/>
  <c r="H2237" i="5"/>
  <c r="I2237" i="5"/>
  <c r="E2237" i="5"/>
  <c r="X2237" i="5" s="1"/>
  <c r="F2238" i="5"/>
  <c r="J2238" i="5"/>
  <c r="I2238" i="5"/>
  <c r="H2238" i="5"/>
  <c r="R2238" i="5"/>
  <c r="G2238" i="5"/>
  <c r="E2238" i="5"/>
  <c r="X2238" i="5" s="1"/>
  <c r="F2239" i="5"/>
  <c r="G2239" i="5"/>
  <c r="H2239" i="5"/>
  <c r="I2239" i="5"/>
  <c r="J2239" i="5"/>
  <c r="R2239" i="5"/>
  <c r="E2239" i="5"/>
  <c r="X2239" i="5" s="1"/>
  <c r="H2240" i="5"/>
  <c r="G2240" i="5"/>
  <c r="F2240" i="5"/>
  <c r="I2240" i="5"/>
  <c r="J2240" i="5"/>
  <c r="R2240" i="5"/>
  <c r="E2240" i="5"/>
  <c r="X2240" i="5" s="1"/>
  <c r="G2241" i="5"/>
  <c r="F2241" i="5"/>
  <c r="J2241" i="5"/>
  <c r="R2241" i="5"/>
  <c r="H2241" i="5"/>
  <c r="I2241" i="5"/>
  <c r="E2241" i="5"/>
  <c r="X2241" i="5" s="1"/>
  <c r="R2242" i="5"/>
  <c r="J2242" i="5"/>
  <c r="H2242" i="5"/>
  <c r="I2242" i="5"/>
  <c r="G2242" i="5"/>
  <c r="F2242" i="5"/>
  <c r="E2242" i="5"/>
  <c r="X2242" i="5" s="1"/>
  <c r="R2243" i="5"/>
  <c r="G2243" i="5"/>
  <c r="F2243" i="5"/>
  <c r="H2243" i="5"/>
  <c r="I2243" i="5"/>
  <c r="J2243" i="5"/>
  <c r="E2243" i="5"/>
  <c r="X2243" i="5" s="1"/>
  <c r="G2244" i="5"/>
  <c r="F2244" i="5"/>
  <c r="H2244" i="5"/>
  <c r="I2244" i="5"/>
  <c r="J2244" i="5"/>
  <c r="R2244" i="5"/>
  <c r="E2244" i="5"/>
  <c r="X2244" i="5" s="1"/>
  <c r="G2245" i="5"/>
  <c r="F2245" i="5"/>
  <c r="H2245" i="5"/>
  <c r="J2245" i="5"/>
  <c r="R2245" i="5"/>
  <c r="I2245" i="5"/>
  <c r="E2245" i="5"/>
  <c r="X2245" i="5" s="1"/>
  <c r="F2246" i="5"/>
  <c r="G2246" i="5"/>
  <c r="I2246" i="5"/>
  <c r="R2246" i="5"/>
  <c r="J2246" i="5"/>
  <c r="H2246" i="5"/>
  <c r="E2246" i="5"/>
  <c r="X2246" i="5" s="1"/>
  <c r="G2247" i="5"/>
  <c r="F2247" i="5"/>
  <c r="R2247" i="5"/>
  <c r="H2247" i="5"/>
  <c r="I2247" i="5"/>
  <c r="J2247" i="5"/>
  <c r="E2247" i="5"/>
  <c r="X2247" i="5" s="1"/>
  <c r="G2248" i="5"/>
  <c r="F2248" i="5"/>
  <c r="H2248" i="5"/>
  <c r="I2248" i="5"/>
  <c r="J2248" i="5"/>
  <c r="R2248" i="5"/>
  <c r="E2248" i="5"/>
  <c r="X2248" i="5" s="1"/>
  <c r="G2249" i="5"/>
  <c r="R2249" i="5"/>
  <c r="J2249" i="5"/>
  <c r="F2249" i="5"/>
  <c r="H2249" i="5"/>
  <c r="I2249" i="5"/>
  <c r="E2249" i="5"/>
  <c r="X2249" i="5" s="1"/>
  <c r="J2250" i="5"/>
  <c r="R2250" i="5"/>
  <c r="G2250" i="5"/>
  <c r="H2250" i="5"/>
  <c r="F2250" i="5"/>
  <c r="I2250" i="5"/>
  <c r="E2250" i="5"/>
  <c r="X2250" i="5" s="1"/>
  <c r="G2251" i="5"/>
  <c r="F2251" i="5"/>
  <c r="R2251" i="5"/>
  <c r="H2251" i="5"/>
  <c r="I2251" i="5"/>
  <c r="J2251" i="5"/>
  <c r="E2251" i="5"/>
  <c r="X2251" i="5" s="1"/>
  <c r="V2252" i="5"/>
  <c r="AB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AB2256" i="5"/>
  <c r="V2256" i="5"/>
  <c r="G2257" i="5"/>
  <c r="I2257" i="5"/>
  <c r="R2257" i="5"/>
  <c r="H2257" i="5"/>
  <c r="J2257" i="5"/>
  <c r="F2257" i="5"/>
  <c r="E2257" i="5"/>
  <c r="X2257" i="5" s="1"/>
  <c r="I2258" i="5"/>
  <c r="F2258" i="5"/>
  <c r="R2258" i="5"/>
  <c r="G2258" i="5"/>
  <c r="H2258" i="5"/>
  <c r="J2258" i="5"/>
  <c r="E2258" i="5"/>
  <c r="X2258" i="5" s="1"/>
  <c r="H2259" i="5"/>
  <c r="J2259" i="5"/>
  <c r="R2259" i="5"/>
  <c r="G2259" i="5"/>
  <c r="F2259" i="5"/>
  <c r="I2259" i="5"/>
  <c r="E2259" i="5"/>
  <c r="X2259" i="5" s="1"/>
  <c r="F2260" i="5"/>
  <c r="H2260" i="5"/>
  <c r="G2260" i="5"/>
  <c r="I2260" i="5"/>
  <c r="J2260" i="5"/>
  <c r="R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I2265" i="5"/>
  <c r="G2265" i="5"/>
  <c r="J2265" i="5"/>
  <c r="R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AB2273" i="5"/>
  <c r="G2274" i="5"/>
  <c r="J2274" i="5"/>
  <c r="F2274" i="5"/>
  <c r="H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H2277" i="5"/>
  <c r="J2277" i="5"/>
  <c r="R2277" i="5"/>
  <c r="F2277" i="5"/>
  <c r="E2277" i="5"/>
  <c r="X2277" i="5" s="1"/>
  <c r="I2278" i="5"/>
  <c r="F2278" i="5"/>
  <c r="R2278" i="5"/>
  <c r="H2278" i="5"/>
  <c r="G2278" i="5"/>
  <c r="J2278" i="5"/>
  <c r="E2278" i="5"/>
  <c r="X2278" i="5" s="1"/>
  <c r="R2279" i="5"/>
  <c r="H2279" i="5"/>
  <c r="I2279" i="5"/>
  <c r="F2279" i="5"/>
  <c r="G2279" i="5"/>
  <c r="J2279" i="5"/>
  <c r="E2279" i="5"/>
  <c r="X2279" i="5" s="1"/>
  <c r="V2280" i="5"/>
  <c r="AB2280" i="5"/>
  <c r="H2281" i="5"/>
  <c r="I2281" i="5"/>
  <c r="G2281" i="5"/>
  <c r="F2281" i="5"/>
  <c r="R2281" i="5"/>
  <c r="J2281" i="5"/>
  <c r="E2281" i="5"/>
  <c r="X2281" i="5" s="1"/>
  <c r="AB2282" i="5"/>
  <c r="V2282" i="5"/>
  <c r="V2283" i="5"/>
  <c r="AB2283" i="5"/>
  <c r="G2284" i="5"/>
  <c r="I2284" i="5"/>
  <c r="R2284" i="5"/>
  <c r="J2284" i="5"/>
  <c r="F2284" i="5"/>
  <c r="H2284" i="5"/>
  <c r="E2284" i="5"/>
  <c r="X2284" i="5" s="1"/>
  <c r="G2285" i="5"/>
  <c r="F2285" i="5"/>
  <c r="H2285" i="5"/>
  <c r="I2285" i="5"/>
  <c r="J2285" i="5"/>
  <c r="R2285" i="5"/>
  <c r="E2285" i="5"/>
  <c r="X2285" i="5" s="1"/>
  <c r="J2286" i="5"/>
  <c r="G2286" i="5"/>
  <c r="F2286" i="5"/>
  <c r="H2286" i="5"/>
  <c r="R2286" i="5"/>
  <c r="I2286" i="5"/>
  <c r="E2286" i="5"/>
  <c r="X2286" i="5" s="1"/>
  <c r="I2287" i="5"/>
  <c r="G2287" i="5"/>
  <c r="R2287" i="5"/>
  <c r="J2287" i="5"/>
  <c r="H2287" i="5"/>
  <c r="F2287" i="5"/>
  <c r="E2287" i="5"/>
  <c r="X2287" i="5" s="1"/>
  <c r="G2288" i="5"/>
  <c r="F2288" i="5"/>
  <c r="H2288" i="5"/>
  <c r="J2288" i="5"/>
  <c r="R2288" i="5"/>
  <c r="I2288" i="5"/>
  <c r="E2288" i="5"/>
  <c r="X2288" i="5" s="1"/>
  <c r="AB2289" i="5"/>
  <c r="V2289" i="5"/>
  <c r="V2290" i="5"/>
  <c r="AB2290" i="5"/>
  <c r="H2291" i="5"/>
  <c r="G2291" i="5"/>
  <c r="I2291" i="5"/>
  <c r="J2291" i="5"/>
  <c r="R2291" i="5"/>
  <c r="F2291" i="5"/>
  <c r="E2291" i="5"/>
  <c r="X2291" i="5" s="1"/>
  <c r="V2292" i="5"/>
  <c r="AB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AB2297" i="5"/>
  <c r="V2298" i="5"/>
  <c r="AB2298" i="5"/>
  <c r="H2299" i="5"/>
  <c r="G2299" i="5"/>
  <c r="I2299" i="5"/>
  <c r="J2299" i="5"/>
  <c r="R2299" i="5"/>
  <c r="F2299" i="5"/>
  <c r="E2299" i="5"/>
  <c r="X2299" i="5" s="1"/>
  <c r="H2300" i="5"/>
  <c r="F2300" i="5"/>
  <c r="R2300" i="5"/>
  <c r="I2300" i="5"/>
  <c r="G2300" i="5"/>
  <c r="J2300" i="5"/>
  <c r="E2300" i="5"/>
  <c r="X2300" i="5" s="1"/>
  <c r="J2301" i="5"/>
  <c r="R2301" i="5"/>
  <c r="F2301" i="5"/>
  <c r="H2301" i="5"/>
  <c r="I2301" i="5"/>
  <c r="G2301" i="5"/>
  <c r="E2301" i="5"/>
  <c r="X2301" i="5" s="1"/>
  <c r="I2302" i="5"/>
  <c r="J2302" i="5"/>
  <c r="G2302" i="5"/>
  <c r="H2302" i="5"/>
  <c r="R2302" i="5"/>
  <c r="F2302" i="5"/>
  <c r="E2302" i="5"/>
  <c r="X2302"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R2308" i="5"/>
  <c r="G2308" i="5"/>
  <c r="J2308" i="5"/>
  <c r="H2308" i="5"/>
  <c r="F2308" i="5"/>
  <c r="I2308" i="5"/>
  <c r="E2308" i="5"/>
  <c r="X2308" i="5" s="1"/>
  <c r="J2309" i="5"/>
  <c r="G2309" i="5"/>
  <c r="H2309" i="5"/>
  <c r="I2309" i="5"/>
  <c r="R2309" i="5"/>
  <c r="F2309" i="5"/>
  <c r="E2309" i="5"/>
  <c r="X2309" i="5" s="1"/>
  <c r="AB2310" i="5"/>
  <c r="V2310" i="5"/>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E2315" i="5"/>
  <c r="X2315" i="5" s="1"/>
  <c r="G2316" i="5"/>
  <c r="F2316" i="5"/>
  <c r="J2316" i="5"/>
  <c r="R2316" i="5"/>
  <c r="H2316" i="5"/>
  <c r="I2316" i="5"/>
  <c r="E2316" i="5"/>
  <c r="X2316" i="5" s="1"/>
  <c r="V2317" i="5"/>
  <c r="AB2317" i="5"/>
  <c r="R2318" i="5"/>
  <c r="G2318" i="5"/>
  <c r="H2318" i="5"/>
  <c r="F2318" i="5"/>
  <c r="J2318" i="5"/>
  <c r="I2318" i="5"/>
  <c r="E2318" i="5"/>
  <c r="X2318" i="5" s="1"/>
  <c r="V2319" i="5"/>
  <c r="AB2319" i="5"/>
  <c r="G2320" i="5"/>
  <c r="J2320" i="5"/>
  <c r="R2320" i="5"/>
  <c r="F2320" i="5"/>
  <c r="H2320" i="5"/>
  <c r="I2320" i="5"/>
  <c r="E2320" i="5"/>
  <c r="X2320" i="5" s="1"/>
  <c r="AB2321" i="5"/>
  <c r="V2321" i="5"/>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AB2325" i="5"/>
  <c r="V2325" i="5"/>
  <c r="F2326" i="5"/>
  <c r="J2326" i="5"/>
  <c r="G2326" i="5"/>
  <c r="I2326" i="5"/>
  <c r="H2326" i="5"/>
  <c r="R2326" i="5"/>
  <c r="E2326" i="5"/>
  <c r="X2326" i="5" s="1"/>
  <c r="G2327" i="5"/>
  <c r="I2327" i="5"/>
  <c r="H2327" i="5"/>
  <c r="R2327" i="5"/>
  <c r="J2327" i="5"/>
  <c r="F2327" i="5"/>
  <c r="E2327" i="5"/>
  <c r="X2327" i="5" s="1"/>
  <c r="J2328" i="5"/>
  <c r="I2328" i="5"/>
  <c r="R2328" i="5"/>
  <c r="H2328" i="5"/>
  <c r="G2328" i="5"/>
  <c r="F2328" i="5"/>
  <c r="E2328" i="5"/>
  <c r="X2328" i="5" s="1"/>
  <c r="AB2329" i="5"/>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AB2333" i="5"/>
  <c r="V2333" i="5"/>
  <c r="I2334" i="5"/>
  <c r="G2334" i="5"/>
  <c r="R2334" i="5"/>
  <c r="H2334" i="5"/>
  <c r="J2334" i="5"/>
  <c r="F2334" i="5"/>
  <c r="E2334" i="5"/>
  <c r="X2334" i="5" s="1"/>
  <c r="H2335" i="5"/>
  <c r="I2335" i="5"/>
  <c r="F2335" i="5"/>
  <c r="J2335" i="5"/>
  <c r="R2335" i="5"/>
  <c r="G2335" i="5"/>
  <c r="E2335" i="5"/>
  <c r="X2335" i="5" s="1"/>
  <c r="G2336" i="5"/>
  <c r="I2336" i="5"/>
  <c r="F2336" i="5"/>
  <c r="J2336" i="5"/>
  <c r="R2336" i="5"/>
  <c r="H2336" i="5"/>
  <c r="E2336" i="5"/>
  <c r="X2336" i="5" s="1"/>
  <c r="V2337" i="5"/>
  <c r="AB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AB2341" i="5"/>
  <c r="H2342" i="5"/>
  <c r="G2342" i="5"/>
  <c r="F2342" i="5"/>
  <c r="R2342" i="5"/>
  <c r="J2342" i="5"/>
  <c r="I2342" i="5"/>
  <c r="E2342" i="5"/>
  <c r="X2342" i="5" s="1"/>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6" i="5"/>
  <c r="J2346" i="5"/>
  <c r="G2346" i="5"/>
  <c r="H2346" i="5"/>
  <c r="I2346" i="5"/>
  <c r="R2346" i="5"/>
  <c r="E2346" i="5"/>
  <c r="X2346" i="5" s="1"/>
  <c r="F2347" i="5"/>
  <c r="G2347" i="5"/>
  <c r="I2347" i="5"/>
  <c r="R2347" i="5"/>
  <c r="H2347" i="5"/>
  <c r="J2347" i="5"/>
  <c r="E2347" i="5"/>
  <c r="X2347" i="5" s="1"/>
  <c r="G2348" i="5"/>
  <c r="F2348" i="5"/>
  <c r="R2348" i="5"/>
  <c r="H2348" i="5"/>
  <c r="I2348" i="5"/>
  <c r="J2348" i="5"/>
  <c r="E2348" i="5"/>
  <c r="X2348" i="5" s="1"/>
  <c r="V2349" i="5"/>
  <c r="AB2349" i="5"/>
  <c r="G2350" i="5"/>
  <c r="H2350" i="5"/>
  <c r="I2350" i="5"/>
  <c r="R2350" i="5"/>
  <c r="F2350" i="5"/>
  <c r="J2350" i="5"/>
  <c r="E2350" i="5"/>
  <c r="X2350" i="5" s="1"/>
  <c r="H2351" i="5"/>
  <c r="I2351" i="5"/>
  <c r="G2351" i="5"/>
  <c r="R2351" i="5"/>
  <c r="F2351" i="5"/>
  <c r="J2351" i="5"/>
  <c r="E2351" i="5"/>
  <c r="X2351" i="5" s="1"/>
  <c r="G2352" i="5"/>
  <c r="H2352" i="5"/>
  <c r="I2352" i="5"/>
  <c r="J2352" i="5"/>
  <c r="R2352" i="5"/>
  <c r="F2352" i="5"/>
  <c r="E2352" i="5"/>
  <c r="X2352" i="5" s="1"/>
  <c r="I2353" i="5"/>
  <c r="R2353" i="5"/>
  <c r="H2353" i="5"/>
  <c r="J2353" i="5"/>
  <c r="G2353" i="5"/>
  <c r="F2353" i="5"/>
  <c r="E2353" i="5"/>
  <c r="X2353" i="5" s="1"/>
  <c r="G2354" i="5"/>
  <c r="F2354" i="5"/>
  <c r="H2354" i="5"/>
  <c r="I2354" i="5"/>
  <c r="R2354" i="5"/>
  <c r="J2354" i="5"/>
  <c r="E2354" i="5"/>
  <c r="X2354" i="5" s="1"/>
  <c r="V2355" i="5"/>
  <c r="AB2355" i="5"/>
  <c r="G2356" i="5"/>
  <c r="J2356" i="5"/>
  <c r="I2356" i="5"/>
  <c r="H2356" i="5"/>
  <c r="R2356" i="5"/>
  <c r="F2356" i="5"/>
  <c r="E2356" i="5"/>
  <c r="X2356" i="5" s="1"/>
  <c r="J2357" i="5"/>
  <c r="F2357" i="5"/>
  <c r="G2357" i="5"/>
  <c r="R2357" i="5"/>
  <c r="H2357" i="5"/>
  <c r="I2357" i="5"/>
  <c r="E2357" i="5"/>
  <c r="X2357" i="5" s="1"/>
  <c r="G2358" i="5"/>
  <c r="F2358" i="5"/>
  <c r="I2358" i="5"/>
  <c r="R2358" i="5"/>
  <c r="H2358" i="5"/>
  <c r="J2358" i="5"/>
  <c r="E2358" i="5"/>
  <c r="X2358" i="5" s="1"/>
  <c r="I2359" i="5"/>
  <c r="H2359" i="5"/>
  <c r="R2359" i="5"/>
  <c r="J2359" i="5"/>
  <c r="G2359" i="5"/>
  <c r="F2359" i="5"/>
  <c r="E2359" i="5"/>
  <c r="X2359" i="5" s="1"/>
  <c r="G2360" i="5"/>
  <c r="H2360" i="5"/>
  <c r="I2360" i="5"/>
  <c r="J2360" i="5"/>
  <c r="R2360" i="5"/>
  <c r="F2360" i="5"/>
  <c r="E2360" i="5"/>
  <c r="X2360" i="5" s="1"/>
  <c r="G2361" i="5"/>
  <c r="R2361" i="5"/>
  <c r="I2361" i="5"/>
  <c r="J2361" i="5"/>
  <c r="F2361" i="5"/>
  <c r="H2361" i="5"/>
  <c r="E2361" i="5"/>
  <c r="X2361" i="5" s="1"/>
  <c r="R2362" i="5"/>
  <c r="F2362" i="5"/>
  <c r="G2362" i="5"/>
  <c r="H2362" i="5"/>
  <c r="J2362" i="5"/>
  <c r="I2362" i="5"/>
  <c r="E2362" i="5"/>
  <c r="X2362" i="5" s="1"/>
  <c r="AB2363" i="5"/>
  <c r="V2363" i="5"/>
  <c r="G2364" i="5"/>
  <c r="F2364" i="5"/>
  <c r="I2364" i="5"/>
  <c r="R2364" i="5"/>
  <c r="J2364" i="5"/>
  <c r="H2364" i="5"/>
  <c r="E2364" i="5"/>
  <c r="X2364" i="5" s="1"/>
  <c r="J2365" i="5"/>
  <c r="R2365" i="5"/>
  <c r="I2365" i="5"/>
  <c r="G2365" i="5"/>
  <c r="F2365" i="5"/>
  <c r="H2365" i="5"/>
  <c r="E2365" i="5"/>
  <c r="X2365" i="5" s="1"/>
  <c r="F2366" i="5"/>
  <c r="G2366" i="5"/>
  <c r="I2366" i="5"/>
  <c r="R2366" i="5"/>
  <c r="H2366" i="5"/>
  <c r="J2366" i="5"/>
  <c r="E2366" i="5"/>
  <c r="X2366" i="5" s="1"/>
  <c r="H2367" i="5"/>
  <c r="R2367" i="5"/>
  <c r="G2367" i="5"/>
  <c r="J2367" i="5"/>
  <c r="F2367" i="5"/>
  <c r="I2367" i="5"/>
  <c r="E2367" i="5"/>
  <c r="X2367" i="5" s="1"/>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s="1"/>
  <c r="AB2371" i="5"/>
  <c r="V2371" i="5"/>
  <c r="G2372" i="5"/>
  <c r="F2372" i="5"/>
  <c r="I2372" i="5"/>
  <c r="R2372" i="5"/>
  <c r="J2372" i="5"/>
  <c r="H2372" i="5"/>
  <c r="E2372" i="5"/>
  <c r="X2372" i="5" s="1"/>
  <c r="G2373" i="5"/>
  <c r="F2373" i="5"/>
  <c r="H2373" i="5"/>
  <c r="I2373" i="5"/>
  <c r="J2373" i="5"/>
  <c r="R2373" i="5"/>
  <c r="E2373" i="5"/>
  <c r="X2373" i="5" s="1"/>
  <c r="G2374" i="5"/>
  <c r="F2374" i="5"/>
  <c r="I2374" i="5"/>
  <c r="R2374" i="5"/>
  <c r="H2374" i="5"/>
  <c r="J2374" i="5"/>
  <c r="E2374" i="5"/>
  <c r="X2374" i="5" s="1"/>
  <c r="R2375" i="5"/>
  <c r="G2375" i="5"/>
  <c r="J2375" i="5"/>
  <c r="H2375" i="5"/>
  <c r="I2375" i="5"/>
  <c r="F2375" i="5"/>
  <c r="E2375" i="5"/>
  <c r="X2375" i="5" s="1"/>
  <c r="G2376" i="5"/>
  <c r="H2376" i="5"/>
  <c r="I2376" i="5"/>
  <c r="J2376" i="5"/>
  <c r="R2376" i="5"/>
  <c r="F2376" i="5"/>
  <c r="E2376" i="5"/>
  <c r="X2376" i="5" s="1"/>
  <c r="G2377" i="5"/>
  <c r="R2377" i="5"/>
  <c r="I2377" i="5"/>
  <c r="J2377" i="5"/>
  <c r="F2377" i="5"/>
  <c r="H2377" i="5"/>
  <c r="E2377" i="5"/>
  <c r="X2377" i="5" s="1"/>
  <c r="H2378" i="5"/>
  <c r="I2378" i="5"/>
  <c r="G2378" i="5"/>
  <c r="F2378" i="5"/>
  <c r="J2378" i="5"/>
  <c r="R2378" i="5"/>
  <c r="E2378" i="5"/>
  <c r="X2378" i="5" s="1"/>
  <c r="V2379" i="5"/>
  <c r="AB2379" i="5"/>
  <c r="G2380" i="5"/>
  <c r="J2380" i="5"/>
  <c r="F2380" i="5"/>
  <c r="R2380" i="5"/>
  <c r="I2380" i="5"/>
  <c r="H2380" i="5"/>
  <c r="E2380" i="5"/>
  <c r="X2380" i="5" s="1"/>
  <c r="V2381" i="5"/>
  <c r="AB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s="1"/>
  <c r="F2387" i="5"/>
  <c r="R2387" i="5"/>
  <c r="I2387" i="5"/>
  <c r="G2387" i="5"/>
  <c r="J2387" i="5"/>
  <c r="H2387" i="5"/>
  <c r="E2387" i="5"/>
  <c r="X2387" i="5" s="1"/>
  <c r="V2388" i="5"/>
  <c r="AB2388" i="5"/>
  <c r="V2389" i="5"/>
  <c r="AB2389" i="5"/>
  <c r="R2390" i="5"/>
  <c r="J2390" i="5"/>
  <c r="G2390" i="5"/>
  <c r="F2390" i="5"/>
  <c r="I2390" i="5"/>
  <c r="H2390" i="5"/>
  <c r="E2390" i="5"/>
  <c r="X2390" i="5" s="1"/>
  <c r="G2391" i="5"/>
  <c r="F2391" i="5"/>
  <c r="I2391" i="5"/>
  <c r="J2391" i="5"/>
  <c r="R2391" i="5"/>
  <c r="H2391" i="5"/>
  <c r="E2391" i="5"/>
  <c r="X2391" i="5" s="1"/>
  <c r="I2392" i="5"/>
  <c r="R2392" i="5"/>
  <c r="G2392" i="5"/>
  <c r="F2392" i="5"/>
  <c r="H2392" i="5"/>
  <c r="J2392" i="5"/>
  <c r="E2392" i="5"/>
  <c r="X2392" i="5" s="1"/>
  <c r="AB2393" i="5"/>
  <c r="V2393" i="5"/>
  <c r="G2394" i="5"/>
  <c r="H2394" i="5"/>
  <c r="I2394" i="5"/>
  <c r="J2394" i="5"/>
  <c r="R2394" i="5"/>
  <c r="F2394" i="5"/>
  <c r="E2394" i="5"/>
  <c r="X2394" i="5" s="1"/>
  <c r="V2395" i="5"/>
  <c r="AB2395" i="5"/>
  <c r="R2396" i="5"/>
  <c r="J2396" i="5"/>
  <c r="F2396" i="5"/>
  <c r="G2396" i="5"/>
  <c r="H2396" i="5"/>
  <c r="I2396" i="5"/>
  <c r="E2396" i="5"/>
  <c r="X2396" i="5" s="1"/>
  <c r="J2397" i="5"/>
  <c r="R2397" i="5"/>
  <c r="H2397" i="5"/>
  <c r="G2397" i="5"/>
  <c r="F2397" i="5"/>
  <c r="I2397" i="5"/>
  <c r="E2397" i="5"/>
  <c r="X2397" i="5" s="1"/>
  <c r="F2398" i="5"/>
  <c r="J2398" i="5"/>
  <c r="G2398" i="5"/>
  <c r="I2398" i="5"/>
  <c r="R2398" i="5"/>
  <c r="H2398" i="5"/>
  <c r="E2398" i="5"/>
  <c r="X2398" i="5" s="1"/>
  <c r="H2399" i="5"/>
  <c r="G2399" i="5"/>
  <c r="F2399" i="5"/>
  <c r="J2399" i="5"/>
  <c r="I2399" i="5"/>
  <c r="R2399" i="5"/>
  <c r="E2399" i="5"/>
  <c r="X2399" i="5" s="1"/>
  <c r="G2400" i="5"/>
  <c r="F2400" i="5"/>
  <c r="H2400" i="5"/>
  <c r="I2400" i="5"/>
  <c r="J2400" i="5"/>
  <c r="R2400" i="5"/>
  <c r="E2400" i="5"/>
  <c r="X2400" i="5" s="1"/>
  <c r="AB2401" i="5"/>
  <c r="V2401" i="5"/>
  <c r="AB2402" i="5"/>
  <c r="V2402" i="5"/>
  <c r="R2403" i="5"/>
  <c r="G2403" i="5"/>
  <c r="J2403" i="5"/>
  <c r="I2403" i="5"/>
  <c r="F2403" i="5"/>
  <c r="H2403" i="5"/>
  <c r="E2403" i="5"/>
  <c r="X2403" i="5" s="1"/>
  <c r="R2404" i="5"/>
  <c r="H2404" i="5"/>
  <c r="J2404" i="5"/>
  <c r="G2404" i="5"/>
  <c r="I2404" i="5"/>
  <c r="F2404" i="5"/>
  <c r="E2404" i="5"/>
  <c r="X2404" i="5" s="1"/>
  <c r="AB2405" i="5"/>
  <c r="V2405" i="5"/>
  <c r="AB2406" i="5"/>
  <c r="V2406" i="5"/>
  <c r="I2407" i="5"/>
  <c r="J2407" i="5"/>
  <c r="F2407" i="5"/>
  <c r="G2407" i="5"/>
  <c r="R2407" i="5"/>
  <c r="H2407" i="5"/>
  <c r="E2407" i="5"/>
  <c r="X2407" i="5" s="1"/>
  <c r="G2408" i="5"/>
  <c r="F2408" i="5"/>
  <c r="H2408" i="5"/>
  <c r="I2408" i="5"/>
  <c r="J2408" i="5"/>
  <c r="R2408" i="5"/>
  <c r="E2408" i="5"/>
  <c r="X2408" i="5" s="1"/>
  <c r="AB2409" i="5"/>
  <c r="V2409" i="5"/>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s="1"/>
  <c r="AB2413" i="5"/>
  <c r="V2413" i="5"/>
  <c r="J2414" i="5"/>
  <c r="I2414" i="5"/>
  <c r="G2414" i="5"/>
  <c r="R2414" i="5"/>
  <c r="H2414" i="5"/>
  <c r="F2414" i="5"/>
  <c r="E2414" i="5"/>
  <c r="X2414" i="5" s="1"/>
  <c r="G2415" i="5"/>
  <c r="J2415" i="5"/>
  <c r="R2415" i="5"/>
  <c r="F2415" i="5"/>
  <c r="H2415" i="5"/>
  <c r="I2415" i="5"/>
  <c r="E2415" i="5"/>
  <c r="X2415" i="5" s="1"/>
  <c r="J2416" i="5"/>
  <c r="F2416" i="5"/>
  <c r="R2416" i="5"/>
  <c r="H2416" i="5"/>
  <c r="I2416" i="5"/>
  <c r="G2416" i="5"/>
  <c r="E2416" i="5"/>
  <c r="X2416" i="5" s="1"/>
  <c r="V2417" i="5"/>
  <c r="AB2417" i="5"/>
  <c r="AB2418" i="5"/>
  <c r="V2418" i="5"/>
  <c r="F2419" i="5"/>
  <c r="G2419" i="5"/>
  <c r="I2419" i="5"/>
  <c r="J2419" i="5"/>
  <c r="H2419" i="5"/>
  <c r="R2419" i="5"/>
  <c r="E2419" i="5"/>
  <c r="X2419" i="5" s="1"/>
  <c r="G2420" i="5"/>
  <c r="F2420" i="5"/>
  <c r="H2420" i="5"/>
  <c r="I2420" i="5"/>
  <c r="J2420" i="5"/>
  <c r="R2420" i="5"/>
  <c r="E2420" i="5"/>
  <c r="X2420" i="5" s="1"/>
  <c r="AB2421" i="5"/>
  <c r="V2421" i="5"/>
  <c r="AB2422" i="5"/>
  <c r="V2422" i="5"/>
  <c r="I2423" i="5"/>
  <c r="R2423" i="5"/>
  <c r="J2423" i="5"/>
  <c r="F2423" i="5"/>
  <c r="G2423" i="5"/>
  <c r="H2423" i="5"/>
  <c r="E2423" i="5"/>
  <c r="X2423" i="5" s="1"/>
  <c r="R2424" i="5"/>
  <c r="H2424" i="5"/>
  <c r="J2424" i="5"/>
  <c r="I2424" i="5"/>
  <c r="F2424" i="5"/>
  <c r="G2424" i="5"/>
  <c r="E2424" i="5"/>
  <c r="X2424" i="5" s="1"/>
  <c r="G2425" i="5"/>
  <c r="F2425" i="5"/>
  <c r="H2425" i="5"/>
  <c r="I2425" i="5"/>
  <c r="J2425" i="5"/>
  <c r="R2425" i="5"/>
  <c r="E2425" i="5"/>
  <c r="X2425" i="5" s="1"/>
  <c r="F2426" i="5"/>
  <c r="R2426" i="5"/>
  <c r="J2426" i="5"/>
  <c r="I2426" i="5"/>
  <c r="G2426" i="5"/>
  <c r="H2426" i="5"/>
  <c r="E2426" i="5"/>
  <c r="X2426" i="5" s="1"/>
  <c r="G2427" i="5"/>
  <c r="J2427" i="5"/>
  <c r="R2427" i="5"/>
  <c r="I2427" i="5"/>
  <c r="F2427" i="5"/>
  <c r="H2427" i="5"/>
  <c r="E2427" i="5"/>
  <c r="X2427" i="5" s="1"/>
  <c r="F2428" i="5"/>
  <c r="J2428" i="5"/>
  <c r="I2428" i="5"/>
  <c r="G2428" i="5"/>
  <c r="R2428" i="5"/>
  <c r="H2428" i="5"/>
  <c r="E2428" i="5"/>
  <c r="X2428" i="5" s="1"/>
  <c r="V2429" i="5"/>
  <c r="AB2429" i="5"/>
  <c r="G2430" i="5"/>
  <c r="H2430" i="5"/>
  <c r="I2430" i="5"/>
  <c r="J2430" i="5"/>
  <c r="R2430" i="5"/>
  <c r="F2430" i="5"/>
  <c r="E2430" i="5"/>
  <c r="X2430" i="5" s="1"/>
  <c r="H2431" i="5"/>
  <c r="J2431" i="5"/>
  <c r="G2431" i="5"/>
  <c r="F2431" i="5"/>
  <c r="R2431" i="5"/>
  <c r="I2431" i="5"/>
  <c r="E2431" i="5"/>
  <c r="X2431" i="5" s="1"/>
  <c r="G2432" i="5"/>
  <c r="R2432" i="5"/>
  <c r="F2432" i="5"/>
  <c r="J2432" i="5"/>
  <c r="I2432" i="5"/>
  <c r="H2432" i="5"/>
  <c r="E2432" i="5"/>
  <c r="X2432" i="5" s="1"/>
  <c r="J2433" i="5"/>
  <c r="G2433" i="5"/>
  <c r="I2433" i="5"/>
  <c r="H2433" i="5"/>
  <c r="R2433" i="5"/>
  <c r="F2433" i="5"/>
  <c r="E2433" i="5"/>
  <c r="X2433" i="5" s="1"/>
  <c r="V2434" i="5"/>
  <c r="AB2434" i="5"/>
  <c r="V2435" i="5"/>
  <c r="AB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AB2439" i="5"/>
  <c r="V2439" i="5"/>
  <c r="AB2440" i="5"/>
  <c r="V2440" i="5"/>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s="1"/>
  <c r="R2444" i="5"/>
  <c r="G2444" i="5"/>
  <c r="J2444" i="5"/>
  <c r="H2444" i="5"/>
  <c r="F2444" i="5"/>
  <c r="I2444" i="5"/>
  <c r="E2444" i="5"/>
  <c r="X2444" i="5" s="1"/>
  <c r="G2445" i="5"/>
  <c r="F2445" i="5"/>
  <c r="H2445" i="5"/>
  <c r="I2445" i="5"/>
  <c r="J2445" i="5"/>
  <c r="R2445" i="5"/>
  <c r="E2445" i="5"/>
  <c r="X2445" i="5" s="1"/>
  <c r="H2446" i="5"/>
  <c r="F2446" i="5"/>
  <c r="R2446" i="5"/>
  <c r="I2446" i="5"/>
  <c r="G2446" i="5"/>
  <c r="J2446" i="5"/>
  <c r="E2446" i="5"/>
  <c r="X2446" i="5" s="1"/>
  <c r="I2447" i="5"/>
  <c r="G2447" i="5"/>
  <c r="F2447" i="5"/>
  <c r="J2447" i="5"/>
  <c r="R2447" i="5"/>
  <c r="H2447" i="5"/>
  <c r="E2447" i="5"/>
  <c r="X2447" i="5" s="1"/>
  <c r="H2448" i="5"/>
  <c r="J2448" i="5"/>
  <c r="G2448" i="5"/>
  <c r="I2448" i="5"/>
  <c r="F2448" i="5"/>
  <c r="R2448" i="5"/>
  <c r="E2448" i="5"/>
  <c r="X2448" i="5" s="1"/>
  <c r="G2449" i="5"/>
  <c r="R2449" i="5"/>
  <c r="F2449" i="5"/>
  <c r="H2449" i="5"/>
  <c r="I2449" i="5"/>
  <c r="J2449" i="5"/>
  <c r="E2449" i="5"/>
  <c r="X2449" i="5" s="1"/>
  <c r="AB2450" i="5"/>
  <c r="V2450" i="5"/>
  <c r="G2451" i="5"/>
  <c r="F2451" i="5"/>
  <c r="I2451" i="5"/>
  <c r="J2451" i="5"/>
  <c r="R2451" i="5"/>
  <c r="H2451" i="5"/>
  <c r="E2451" i="5"/>
  <c r="X2451" i="5" s="1"/>
  <c r="J2452" i="5"/>
  <c r="I2452" i="5"/>
  <c r="R2452" i="5"/>
  <c r="H2452" i="5"/>
  <c r="G2452" i="5"/>
  <c r="F2452" i="5"/>
  <c r="E2452" i="5"/>
  <c r="X2452" i="5" s="1"/>
  <c r="G2453" i="5"/>
  <c r="F2453" i="5"/>
  <c r="H2453" i="5"/>
  <c r="I2453" i="5"/>
  <c r="J2453" i="5"/>
  <c r="R2453" i="5"/>
  <c r="E2453" i="5"/>
  <c r="X2453" i="5" s="1"/>
  <c r="J2454" i="5"/>
  <c r="I2454" i="5"/>
  <c r="G2454" i="5"/>
  <c r="H2454" i="5"/>
  <c r="F2454" i="5"/>
  <c r="R2454" i="5"/>
  <c r="E2454" i="5"/>
  <c r="X2454" i="5" s="1"/>
  <c r="I2455" i="5"/>
  <c r="G2455" i="5"/>
  <c r="H2455" i="5"/>
  <c r="J2455" i="5"/>
  <c r="F2455" i="5"/>
  <c r="R2455" i="5"/>
  <c r="E2455" i="5"/>
  <c r="X2455" i="5" s="1"/>
  <c r="V2456" i="5"/>
  <c r="AB2456" i="5"/>
  <c r="G2457" i="5"/>
  <c r="F2457" i="5"/>
  <c r="H2457" i="5"/>
  <c r="I2457" i="5"/>
  <c r="R2457" i="5"/>
  <c r="J2457" i="5"/>
  <c r="E2457" i="5"/>
  <c r="X2457" i="5" s="1"/>
  <c r="G2458" i="5"/>
  <c r="J2458" i="5"/>
  <c r="H2458" i="5"/>
  <c r="F2458" i="5"/>
  <c r="I2458" i="5"/>
  <c r="R2458" i="5"/>
  <c r="E2458" i="5"/>
  <c r="X2458" i="5" s="1"/>
  <c r="R2459" i="5"/>
  <c r="F2459" i="5"/>
  <c r="G2459" i="5"/>
  <c r="I2459" i="5"/>
  <c r="J2459" i="5"/>
  <c r="H2459" i="5"/>
  <c r="E2459" i="5"/>
  <c r="X2459" i="5" s="1"/>
  <c r="G2460" i="5"/>
  <c r="F2460" i="5"/>
  <c r="H2460" i="5"/>
  <c r="R2460" i="5"/>
  <c r="I2460" i="5"/>
  <c r="J2460" i="5"/>
  <c r="E2460" i="5"/>
  <c r="X2460" i="5" s="1"/>
  <c r="R2461" i="5"/>
  <c r="I2461" i="5"/>
  <c r="H2461" i="5"/>
  <c r="G2461" i="5"/>
  <c r="F2461" i="5"/>
  <c r="J2461" i="5"/>
  <c r="E2461" i="5"/>
  <c r="X2461" i="5" s="1"/>
  <c r="G2462" i="5"/>
  <c r="H2462" i="5"/>
  <c r="I2462" i="5"/>
  <c r="J2462" i="5"/>
  <c r="R2462" i="5"/>
  <c r="F2462" i="5"/>
  <c r="E2462" i="5"/>
  <c r="X2462" i="5" s="1"/>
  <c r="AB2463" i="5"/>
  <c r="V2463" i="5"/>
  <c r="G2464" i="5"/>
  <c r="R2464" i="5"/>
  <c r="H2464" i="5"/>
  <c r="F2464" i="5"/>
  <c r="I2464" i="5"/>
  <c r="J2464" i="5"/>
  <c r="E2464" i="5"/>
  <c r="X2464" i="5" s="1"/>
  <c r="AB2465" i="5"/>
  <c r="V2465" i="5"/>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s="1"/>
  <c r="I2469" i="5"/>
  <c r="G2469" i="5"/>
  <c r="H2469" i="5"/>
  <c r="J2469" i="5"/>
  <c r="F2469" i="5"/>
  <c r="R2469" i="5"/>
  <c r="E2469" i="5"/>
  <c r="X2469" i="5" s="1"/>
  <c r="AB2470" i="5"/>
  <c r="V2470" i="5"/>
  <c r="I2471" i="5"/>
  <c r="G2471" i="5"/>
  <c r="J2471" i="5"/>
  <c r="R2471" i="5"/>
  <c r="F2471" i="5"/>
  <c r="H2471" i="5"/>
  <c r="E2471" i="5"/>
  <c r="X2471" i="5" s="1"/>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s="1"/>
  <c r="I2475" i="5"/>
  <c r="G2475" i="5"/>
  <c r="F2475" i="5"/>
  <c r="J2475" i="5"/>
  <c r="R2475" i="5"/>
  <c r="H2475" i="5"/>
  <c r="E2475" i="5"/>
  <c r="X2475" i="5" s="1"/>
  <c r="V2476" i="5"/>
  <c r="AB2476" i="5"/>
  <c r="F2477" i="5"/>
  <c r="R2477" i="5"/>
  <c r="G2477" i="5"/>
  <c r="I2477" i="5"/>
  <c r="H2477" i="5"/>
  <c r="J2477" i="5"/>
  <c r="E2477" i="5"/>
  <c r="X2477" i="5" s="1"/>
  <c r="J2478" i="5"/>
  <c r="R2478" i="5"/>
  <c r="H2478" i="5"/>
  <c r="G2478" i="5"/>
  <c r="I2478" i="5"/>
  <c r="F2478" i="5"/>
  <c r="E2478" i="5"/>
  <c r="X2478" i="5" s="1"/>
  <c r="H2479" i="5"/>
  <c r="J2479" i="5"/>
  <c r="I2479" i="5"/>
  <c r="G2479" i="5"/>
  <c r="R2479" i="5"/>
  <c r="F2479" i="5"/>
  <c r="E2479" i="5"/>
  <c r="X2479" i="5" s="1"/>
  <c r="V2480" i="5"/>
  <c r="AB2480" i="5"/>
  <c r="H2481" i="5"/>
  <c r="J2481" i="5"/>
  <c r="G2481" i="5"/>
  <c r="F2481" i="5"/>
  <c r="I2481" i="5"/>
  <c r="R2481" i="5"/>
  <c r="E2481" i="5"/>
  <c r="X2481" i="5" s="1"/>
  <c r="G2482" i="5"/>
  <c r="J2482" i="5"/>
  <c r="R2482" i="5"/>
  <c r="F2482" i="5"/>
  <c r="I2482" i="5"/>
  <c r="H2482" i="5"/>
  <c r="E2482" i="5"/>
  <c r="X2482"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s="1"/>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s="1"/>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R9" i="5"/>
  <c r="R10" i="5"/>
  <c r="R12" i="5"/>
  <c r="R13" i="5"/>
  <c r="R14" i="5"/>
  <c r="R15" i="5"/>
  <c r="R16" i="5"/>
  <c r="R17" i="5"/>
  <c r="R18" i="5"/>
  <c r="R19" i="5"/>
  <c r="R22" i="5"/>
  <c r="R23" i="5"/>
  <c r="R24" i="5"/>
  <c r="R25" i="5"/>
  <c r="R26" i="5"/>
  <c r="R27" i="5"/>
  <c r="R31" i="5"/>
  <c r="R32" i="5"/>
  <c r="R33" i="5"/>
  <c r="R34" i="5"/>
  <c r="R35" i="5"/>
  <c r="R37" i="5"/>
  <c r="R38" i="5"/>
  <c r="R39" i="5"/>
  <c r="R41" i="5"/>
  <c r="R42" i="5"/>
  <c r="R45" i="5"/>
  <c r="R46" i="5"/>
  <c r="R47" i="5"/>
  <c r="X49" i="5"/>
  <c r="R49" i="5"/>
  <c r="R50" i="5"/>
  <c r="R51" i="5"/>
  <c r="R53" i="5"/>
  <c r="R54" i="5"/>
  <c r="R55" i="5"/>
  <c r="R57" i="5"/>
  <c r="R58" i="5"/>
  <c r="R59" i="5"/>
  <c r="X61" i="5"/>
  <c r="R61" i="5"/>
  <c r="X62" i="5"/>
  <c r="R63" i="5"/>
  <c r="R65" i="5"/>
  <c r="R66" i="5"/>
  <c r="R67" i="5"/>
  <c r="R69" i="5"/>
  <c r="R70" i="5"/>
  <c r="R73" i="5"/>
  <c r="R74" i="5"/>
  <c r="R77" i="5"/>
  <c r="R78" i="5"/>
  <c r="X78" i="5"/>
  <c r="R79" i="5"/>
  <c r="R81" i="5"/>
  <c r="R82" i="5"/>
  <c r="R83" i="5"/>
  <c r="R85" i="5"/>
  <c r="R86" i="5"/>
  <c r="R89" i="5"/>
  <c r="R90" i="5"/>
  <c r="X92" i="5"/>
  <c r="R92" i="5"/>
  <c r="R93" i="5"/>
  <c r="X93" i="5"/>
  <c r="R94" i="5"/>
  <c r="R97" i="5"/>
  <c r="R98" i="5"/>
  <c r="R99" i="5"/>
  <c r="R102" i="5"/>
  <c r="R105" i="5"/>
  <c r="R107" i="5"/>
  <c r="R108" i="5"/>
  <c r="X108" i="5"/>
  <c r="R109" i="5"/>
  <c r="R111" i="5"/>
  <c r="R112" i="5"/>
  <c r="R113" i="5"/>
  <c r="X118" i="5"/>
  <c r="R119" i="5"/>
  <c r="R121" i="5"/>
  <c r="X121" i="5"/>
  <c r="X122" i="5"/>
  <c r="R123" i="5"/>
  <c r="R127" i="5"/>
  <c r="R128" i="5"/>
  <c r="R129" i="5"/>
  <c r="R131" i="5"/>
  <c r="R133" i="5"/>
  <c r="X133" i="5"/>
  <c r="R134" i="5"/>
  <c r="R136" i="5"/>
  <c r="R137" i="5"/>
  <c r="R139" i="5"/>
  <c r="R143" i="5"/>
  <c r="R145" i="5"/>
  <c r="R147" i="5"/>
  <c r="R152" i="5"/>
  <c r="X152" i="5"/>
  <c r="R153" i="5"/>
  <c r="X153" i="5"/>
  <c r="R155" i="5"/>
  <c r="H158" i="5"/>
  <c r="I158" i="5"/>
  <c r="H159" i="5"/>
  <c r="R159" i="5"/>
  <c r="J159" i="5"/>
  <c r="I159" i="5"/>
  <c r="F159" i="5"/>
  <c r="R161" i="5"/>
  <c r="E161" i="5"/>
  <c r="X161" i="5" s="1"/>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s="1"/>
  <c r="H169" i="5"/>
  <c r="I169" i="5"/>
  <c r="I170" i="5"/>
  <c r="E170" i="5"/>
  <c r="X170" i="5" s="1"/>
  <c r="I171" i="5"/>
  <c r="H171" i="5"/>
  <c r="F171" i="5"/>
  <c r="R171" i="5"/>
  <c r="J171" i="5"/>
  <c r="F173" i="5"/>
  <c r="R173" i="5"/>
  <c r="I174" i="5"/>
  <c r="H174" i="5"/>
  <c r="F177" i="5"/>
  <c r="R177" i="5"/>
  <c r="J179" i="5"/>
  <c r="H179" i="5"/>
  <c r="F179" i="5"/>
  <c r="R179" i="5"/>
  <c r="I179" i="5"/>
  <c r="I182" i="5"/>
  <c r="E182" i="5"/>
  <c r="X182" i="5" s="1"/>
  <c r="I183" i="5"/>
  <c r="J183" i="5"/>
  <c r="F183" i="5"/>
  <c r="H183" i="5"/>
  <c r="R183" i="5"/>
  <c r="F185" i="5"/>
  <c r="R185" i="5"/>
  <c r="J187" i="5"/>
  <c r="I187" i="5"/>
  <c r="R187" i="5"/>
  <c r="F187" i="5"/>
  <c r="H187" i="5"/>
  <c r="E190" i="5"/>
  <c r="X190" i="5" s="1"/>
  <c r="I190" i="5"/>
  <c r="H190" i="5"/>
  <c r="F191" i="5"/>
  <c r="E191" i="5"/>
  <c r="X191" i="5" s="1"/>
  <c r="F193" i="5"/>
  <c r="E193" i="5"/>
  <c r="X193" i="5" s="1"/>
  <c r="R193" i="5"/>
  <c r="I194" i="5"/>
  <c r="E194" i="5"/>
  <c r="X194" i="5" s="1"/>
  <c r="E195" i="5"/>
  <c r="X195" i="5" s="1"/>
  <c r="H195" i="5"/>
  <c r="F195" i="5"/>
  <c r="R195" i="5"/>
  <c r="I195" i="5"/>
  <c r="J195" i="5"/>
  <c r="R197" i="5"/>
  <c r="F197" i="5"/>
  <c r="E197" i="5"/>
  <c r="X197" i="5" s="1"/>
  <c r="I198" i="5"/>
  <c r="J198" i="5"/>
  <c r="H198" i="5"/>
  <c r="R198" i="5"/>
  <c r="E198" i="5"/>
  <c r="X198" i="5" s="1"/>
  <c r="F198" i="5"/>
  <c r="F199" i="5"/>
  <c r="I199" i="5"/>
  <c r="J199" i="5"/>
  <c r="R199" i="5"/>
  <c r="H199" i="5"/>
  <c r="E199" i="5"/>
  <c r="X199" i="5" s="1"/>
  <c r="J201" i="5"/>
  <c r="R201" i="5"/>
  <c r="J203" i="5"/>
  <c r="I203" i="5"/>
  <c r="F203" i="5"/>
  <c r="R203" i="5"/>
  <c r="H203" i="5"/>
  <c r="F205" i="5"/>
  <c r="R205" i="5"/>
  <c r="I212" i="5"/>
  <c r="E212" i="5"/>
  <c r="X212" i="5" s="1"/>
  <c r="F212" i="5"/>
  <c r="R212" i="5"/>
  <c r="H212" i="5"/>
  <c r="J212" i="5"/>
  <c r="F213" i="5"/>
  <c r="E213" i="5"/>
  <c r="X213" i="5" s="1"/>
  <c r="H214" i="5"/>
  <c r="E214" i="5"/>
  <c r="X214" i="5" s="1"/>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s="1"/>
  <c r="I259" i="5"/>
  <c r="J259" i="5"/>
  <c r="H259" i="5"/>
  <c r="R259" i="5"/>
  <c r="F259" i="5"/>
  <c r="E261" i="5"/>
  <c r="X261" i="5" s="1"/>
  <c r="I261" i="5"/>
  <c r="H261" i="5"/>
  <c r="J261" i="5"/>
  <c r="J262" i="5"/>
  <c r="E262" i="5"/>
  <c r="X262" i="5" s="1"/>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s="1"/>
  <c r="J275" i="5"/>
  <c r="R275" i="5"/>
  <c r="H275" i="5"/>
  <c r="H283" i="5"/>
  <c r="J283" i="5"/>
  <c r="R283" i="5"/>
  <c r="F283" i="5"/>
  <c r="I283" i="5"/>
  <c r="F285" i="5"/>
  <c r="H285" i="5"/>
  <c r="R285" i="5"/>
  <c r="J285" i="5"/>
  <c r="I285" i="5"/>
  <c r="F289" i="5"/>
  <c r="R289" i="5"/>
  <c r="J289" i="5"/>
  <c r="E289" i="5"/>
  <c r="X289" i="5" s="1"/>
  <c r="H289" i="5"/>
  <c r="I289" i="5"/>
  <c r="I291" i="5"/>
  <c r="J291" i="5"/>
  <c r="R291" i="5"/>
  <c r="H291" i="5"/>
  <c r="F291" i="5"/>
  <c r="R295" i="5"/>
  <c r="F295" i="5"/>
  <c r="I295" i="5"/>
  <c r="J295" i="5"/>
  <c r="H295" i="5"/>
  <c r="F299" i="5"/>
  <c r="H299" i="5"/>
  <c r="J299" i="5"/>
  <c r="R299" i="5"/>
  <c r="I299" i="5"/>
  <c r="R301" i="5"/>
  <c r="F301" i="5"/>
  <c r="H301" i="5"/>
  <c r="I301" i="5"/>
  <c r="J301" i="5"/>
  <c r="E301" i="5"/>
  <c r="X301" i="5" s="1"/>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s="1"/>
  <c r="F322" i="5"/>
  <c r="J322" i="5"/>
  <c r="R322" i="5"/>
  <c r="I322" i="5"/>
  <c r="H322" i="5"/>
  <c r="F325" i="5"/>
  <c r="J325" i="5"/>
  <c r="I325" i="5"/>
  <c r="H325" i="5"/>
  <c r="R325" i="5"/>
  <c r="I326" i="5"/>
  <c r="J326" i="5"/>
  <c r="H326" i="5"/>
  <c r="F326" i="5"/>
  <c r="R326" i="5"/>
  <c r="I329" i="5"/>
  <c r="F329" i="5"/>
  <c r="H329" i="5"/>
  <c r="J329" i="5"/>
  <c r="R329" i="5"/>
  <c r="R332" i="5"/>
  <c r="F332" i="5"/>
  <c r="I332" i="5"/>
  <c r="E332" i="5"/>
  <c r="X332" i="5" s="1"/>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s="1"/>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s="1"/>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s="1"/>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s="1"/>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s="1"/>
  <c r="I478" i="5"/>
  <c r="F478" i="5"/>
  <c r="E478" i="5"/>
  <c r="X478" i="5" s="1"/>
  <c r="J478" i="5"/>
  <c r="R478" i="5"/>
  <c r="H478" i="5"/>
  <c r="I479" i="5"/>
  <c r="J479" i="5"/>
  <c r="F479" i="5"/>
  <c r="R479" i="5"/>
  <c r="E479" i="5"/>
  <c r="X479" i="5" s="1"/>
  <c r="H479" i="5"/>
  <c r="R480" i="5"/>
  <c r="I480" i="5"/>
  <c r="F480" i="5"/>
  <c r="E480" i="5"/>
  <c r="X480" i="5" s="1"/>
  <c r="J480" i="5"/>
  <c r="H480" i="5"/>
  <c r="H481" i="5"/>
  <c r="I481" i="5"/>
  <c r="R481" i="5"/>
  <c r="J481" i="5"/>
  <c r="F481" i="5"/>
  <c r="I482" i="5"/>
  <c r="H482" i="5"/>
  <c r="J482" i="5"/>
  <c r="F482" i="5"/>
  <c r="R482" i="5"/>
  <c r="I483" i="5"/>
  <c r="F483" i="5"/>
  <c r="H483" i="5"/>
  <c r="J483" i="5"/>
  <c r="R483" i="5"/>
  <c r="I484" i="5"/>
  <c r="H484" i="5"/>
  <c r="F484" i="5"/>
  <c r="J484" i="5"/>
  <c r="R484" i="5"/>
  <c r="H485" i="5"/>
  <c r="E485" i="5"/>
  <c r="X485" i="5" s="1"/>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s="1"/>
  <c r="I499" i="5"/>
  <c r="H499" i="5"/>
  <c r="F499" i="5"/>
  <c r="H500" i="5"/>
  <c r="I500" i="5"/>
  <c r="R500" i="5"/>
  <c r="J500" i="5"/>
  <c r="F500" i="5"/>
  <c r="E500" i="5"/>
  <c r="X500" i="5" s="1"/>
  <c r="E503" i="5"/>
  <c r="X503" i="5" s="1"/>
  <c r="H503" i="5"/>
  <c r="F503" i="5"/>
  <c r="I503" i="5"/>
  <c r="R503" i="5"/>
  <c r="J503" i="5"/>
  <c r="I504" i="5"/>
  <c r="J504" i="5"/>
  <c r="H504" i="5"/>
  <c r="E504" i="5"/>
  <c r="X504" i="5" s="1"/>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s="1"/>
  <c r="J515" i="5"/>
  <c r="R515" i="5"/>
  <c r="F515" i="5"/>
  <c r="I516" i="5"/>
  <c r="H516" i="5"/>
  <c r="E516" i="5"/>
  <c r="X516" i="5" s="1"/>
  <c r="F516" i="5"/>
  <c r="J516" i="5"/>
  <c r="R516" i="5"/>
  <c r="I519" i="5"/>
  <c r="J519" i="5"/>
  <c r="F519" i="5"/>
  <c r="H519" i="5"/>
  <c r="R519" i="5"/>
  <c r="R520" i="5"/>
  <c r="E520" i="5"/>
  <c r="X520" i="5" s="1"/>
  <c r="I520" i="5"/>
  <c r="J520" i="5"/>
  <c r="H520" i="5"/>
  <c r="F520" i="5"/>
  <c r="H523" i="5"/>
  <c r="R523" i="5"/>
  <c r="E523" i="5"/>
  <c r="X523" i="5" s="1"/>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s="1"/>
  <c r="E548" i="5"/>
  <c r="X548" i="5" s="1"/>
  <c r="I548" i="5"/>
  <c r="H548" i="5"/>
  <c r="J548" i="5"/>
  <c r="F548" i="5"/>
  <c r="R548" i="5"/>
  <c r="E550" i="5"/>
  <c r="X550" i="5" s="1"/>
  <c r="R550" i="5"/>
  <c r="H550" i="5"/>
  <c r="I550" i="5"/>
  <c r="J550" i="5"/>
  <c r="F550" i="5"/>
  <c r="R551" i="5"/>
  <c r="F551" i="5"/>
  <c r="I551" i="5"/>
  <c r="E551" i="5"/>
  <c r="X551" i="5" s="1"/>
  <c r="H551" i="5"/>
  <c r="J551" i="5"/>
  <c r="H552" i="5"/>
  <c r="E552" i="5"/>
  <c r="X552" i="5" s="1"/>
  <c r="R552" i="5"/>
  <c r="F552" i="5"/>
  <c r="I552" i="5"/>
  <c r="J552" i="5"/>
  <c r="I553" i="5"/>
  <c r="R553" i="5"/>
  <c r="F553" i="5"/>
  <c r="H553" i="5"/>
  <c r="J553" i="5"/>
  <c r="I555" i="5"/>
  <c r="J555" i="5"/>
  <c r="R555" i="5"/>
  <c r="H555" i="5"/>
  <c r="F555" i="5"/>
  <c r="J556" i="5"/>
  <c r="F556" i="5"/>
  <c r="E556" i="5"/>
  <c r="X556" i="5" s="1"/>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s="1"/>
  <c r="I563" i="5"/>
  <c r="R564" i="5"/>
  <c r="J564" i="5"/>
  <c r="I564" i="5"/>
  <c r="E564" i="5"/>
  <c r="X564" i="5" s="1"/>
  <c r="H564" i="5"/>
  <c r="F564" i="5"/>
  <c r="E566" i="5"/>
  <c r="X566" i="5" s="1"/>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s="1"/>
  <c r="I571" i="5"/>
  <c r="F571" i="5"/>
  <c r="R571" i="5"/>
  <c r="I572" i="5"/>
  <c r="H572" i="5"/>
  <c r="F572" i="5"/>
  <c r="J572" i="5"/>
  <c r="R572" i="5"/>
  <c r="I573" i="5"/>
  <c r="J573" i="5"/>
  <c r="R573" i="5"/>
  <c r="H573" i="5"/>
  <c r="E573" i="5"/>
  <c r="X573" i="5" s="1"/>
  <c r="F573" i="5"/>
  <c r="E574" i="5"/>
  <c r="X574" i="5" s="1"/>
  <c r="F574" i="5"/>
  <c r="E576" i="5"/>
  <c r="X576" i="5" s="1"/>
  <c r="I576" i="5"/>
  <c r="J582" i="5"/>
  <c r="E582" i="5"/>
  <c r="X582" i="5" s="1"/>
  <c r="I582" i="5"/>
  <c r="F582" i="5"/>
  <c r="R582" i="5"/>
  <c r="H582" i="5"/>
  <c r="R584" i="5"/>
  <c r="F584" i="5"/>
  <c r="J584" i="5"/>
  <c r="I584" i="5"/>
  <c r="H584" i="5"/>
  <c r="E584" i="5"/>
  <c r="X584" i="5" s="1"/>
  <c r="I586" i="5"/>
  <c r="J586" i="5"/>
  <c r="F586" i="5"/>
  <c r="R586" i="5"/>
  <c r="E586" i="5"/>
  <c r="X586" i="5" s="1"/>
  <c r="H586" i="5"/>
  <c r="E587" i="5"/>
  <c r="X587" i="5" s="1"/>
  <c r="J587" i="5"/>
  <c r="I587" i="5"/>
  <c r="H587" i="5"/>
  <c r="F587" i="5"/>
  <c r="R587" i="5"/>
  <c r="I589" i="5"/>
  <c r="J589" i="5"/>
  <c r="R589" i="5"/>
  <c r="H589" i="5"/>
  <c r="F589" i="5"/>
  <c r="E589" i="5"/>
  <c r="X589" i="5" s="1"/>
  <c r="E590" i="5"/>
  <c r="X590" i="5" s="1"/>
  <c r="J590" i="5"/>
  <c r="F590" i="5"/>
  <c r="I590" i="5"/>
  <c r="H590" i="5"/>
  <c r="R590" i="5"/>
  <c r="I592" i="5"/>
  <c r="E592" i="5"/>
  <c r="X592" i="5" s="1"/>
  <c r="F593" i="5"/>
  <c r="E593" i="5"/>
  <c r="X593" i="5" s="1"/>
  <c r="I593" i="5"/>
  <c r="H593" i="5"/>
  <c r="J593" i="5"/>
  <c r="R593" i="5"/>
  <c r="E594" i="5"/>
  <c r="X594" i="5" s="1"/>
  <c r="R594" i="5"/>
  <c r="I594" i="5"/>
  <c r="J594" i="5"/>
  <c r="H594" i="5"/>
  <c r="F594" i="5"/>
  <c r="I598" i="5"/>
  <c r="H598" i="5"/>
  <c r="F598" i="5"/>
  <c r="R598" i="5"/>
  <c r="J598" i="5"/>
  <c r="E598" i="5"/>
  <c r="X598" i="5" s="1"/>
  <c r="I600" i="5"/>
  <c r="E600" i="5"/>
  <c r="X600" i="5" s="1"/>
  <c r="R604" i="5"/>
  <c r="H604" i="5"/>
  <c r="F604" i="5"/>
  <c r="I604" i="5"/>
  <c r="E604" i="5"/>
  <c r="X604" i="5" s="1"/>
  <c r="J604" i="5"/>
  <c r="F606" i="5"/>
  <c r="H606" i="5"/>
  <c r="J606" i="5"/>
  <c r="R606" i="5"/>
  <c r="E606" i="5"/>
  <c r="X606" i="5" s="1"/>
  <c r="I606" i="5"/>
  <c r="R610" i="5"/>
  <c r="E610" i="5"/>
  <c r="X610" i="5" s="1"/>
  <c r="F610" i="5"/>
  <c r="I610" i="5"/>
  <c r="J610" i="5"/>
  <c r="H610" i="5"/>
  <c r="E612" i="5"/>
  <c r="X612" i="5" s="1"/>
  <c r="F612" i="5"/>
  <c r="H612" i="5"/>
  <c r="I612" i="5"/>
  <c r="R612" i="5"/>
  <c r="J612" i="5"/>
  <c r="I614" i="5"/>
  <c r="E614" i="5"/>
  <c r="X614" i="5" s="1"/>
  <c r="J614" i="5"/>
  <c r="F614" i="5"/>
  <c r="H614" i="5"/>
  <c r="R614" i="5"/>
  <c r="I616" i="5"/>
  <c r="H616" i="5"/>
  <c r="R616" i="5"/>
  <c r="J616" i="5"/>
  <c r="F616" i="5"/>
  <c r="E616" i="5"/>
  <c r="X616" i="5" s="1"/>
  <c r="H617" i="5"/>
  <c r="E617" i="5"/>
  <c r="X617" i="5" s="1"/>
  <c r="F617" i="5"/>
  <c r="J617" i="5"/>
  <c r="I617" i="5"/>
  <c r="R617" i="5"/>
  <c r="E618" i="5"/>
  <c r="X618" i="5" s="1"/>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s="1"/>
  <c r="H632" i="5"/>
  <c r="E632" i="5"/>
  <c r="X632" i="5" s="1"/>
  <c r="E636" i="5"/>
  <c r="X636" i="5" s="1"/>
  <c r="J636" i="5"/>
  <c r="H636" i="5"/>
  <c r="I636" i="5"/>
  <c r="F636" i="5"/>
  <c r="R636" i="5"/>
  <c r="F638" i="5"/>
  <c r="H638" i="5"/>
  <c r="I638" i="5"/>
  <c r="E638" i="5"/>
  <c r="X638" i="5" s="1"/>
  <c r="J638" i="5"/>
  <c r="R638" i="5"/>
  <c r="J642" i="5"/>
  <c r="R642" i="5"/>
  <c r="F642" i="5"/>
  <c r="E642" i="5"/>
  <c r="X642" i="5" s="1"/>
  <c r="I642" i="5"/>
  <c r="H642" i="5"/>
  <c r="R644" i="5"/>
  <c r="E644" i="5"/>
  <c r="X644" i="5" s="1"/>
  <c r="E646" i="5"/>
  <c r="X646" i="5" s="1"/>
  <c r="I646" i="5"/>
  <c r="J646" i="5"/>
  <c r="F646" i="5"/>
  <c r="R646" i="5"/>
  <c r="H646" i="5"/>
  <c r="E649" i="5"/>
  <c r="X649" i="5" s="1"/>
  <c r="I649" i="5"/>
  <c r="H649" i="5"/>
  <c r="F649" i="5"/>
  <c r="J649" i="5"/>
  <c r="R649" i="5"/>
  <c r="J652" i="5"/>
  <c r="E652" i="5"/>
  <c r="X652" i="5" s="1"/>
  <c r="F652" i="5"/>
  <c r="I652" i="5"/>
  <c r="H652" i="5"/>
  <c r="R652" i="5"/>
  <c r="I654" i="5"/>
  <c r="H654" i="5"/>
  <c r="R654" i="5"/>
  <c r="J654" i="5"/>
  <c r="E654" i="5"/>
  <c r="X654" i="5" s="1"/>
  <c r="F654" i="5"/>
  <c r="R656" i="5"/>
  <c r="F656" i="5"/>
  <c r="H656" i="5"/>
  <c r="I656" i="5"/>
  <c r="J656" i="5"/>
  <c r="E656" i="5"/>
  <c r="X656" i="5" s="1"/>
  <c r="F658" i="5"/>
  <c r="R658" i="5"/>
  <c r="H658" i="5"/>
  <c r="I658" i="5"/>
  <c r="E658" i="5"/>
  <c r="X658" i="5" s="1"/>
  <c r="J658" i="5"/>
  <c r="H660" i="5"/>
  <c r="E660" i="5"/>
  <c r="X660" i="5" s="1"/>
  <c r="R660" i="5"/>
  <c r="J660" i="5"/>
  <c r="F660" i="5"/>
  <c r="I660" i="5"/>
  <c r="J661" i="5"/>
  <c r="R661" i="5"/>
  <c r="F661" i="5"/>
  <c r="I661" i="5"/>
  <c r="H661" i="5"/>
  <c r="E661" i="5"/>
  <c r="X661" i="5" s="1"/>
  <c r="H662" i="5"/>
  <c r="E662" i="5"/>
  <c r="X662" i="5" s="1"/>
  <c r="E664" i="5"/>
  <c r="X664" i="5" s="1"/>
  <c r="J664" i="5"/>
  <c r="F666" i="5"/>
  <c r="J666" i="5"/>
  <c r="I666" i="5"/>
  <c r="R666" i="5"/>
  <c r="E666" i="5"/>
  <c r="X666" i="5" s="1"/>
  <c r="H666" i="5"/>
  <c r="R668" i="5"/>
  <c r="E668" i="5"/>
  <c r="X668" i="5" s="1"/>
  <c r="H668" i="5"/>
  <c r="I668" i="5"/>
  <c r="J668" i="5"/>
  <c r="F668" i="5"/>
  <c r="H672" i="5"/>
  <c r="E672" i="5"/>
  <c r="X672" i="5" s="1"/>
  <c r="E674" i="5"/>
  <c r="X674" i="5" s="1"/>
  <c r="J674" i="5"/>
  <c r="F674" i="5"/>
  <c r="R674" i="5"/>
  <c r="I674" i="5"/>
  <c r="H674" i="5"/>
  <c r="J676" i="5"/>
  <c r="H676" i="5"/>
  <c r="I676" i="5"/>
  <c r="R676" i="5"/>
  <c r="E676" i="5"/>
  <c r="X676" i="5" s="1"/>
  <c r="F676" i="5"/>
  <c r="E678" i="5"/>
  <c r="X678" i="5" s="1"/>
  <c r="R678" i="5"/>
  <c r="R680" i="5"/>
  <c r="E680" i="5"/>
  <c r="X680" i="5" s="1"/>
  <c r="F681" i="5"/>
  <c r="I681" i="5"/>
  <c r="J681" i="5"/>
  <c r="R681" i="5"/>
  <c r="E681" i="5"/>
  <c r="X681" i="5" s="1"/>
  <c r="H681" i="5"/>
  <c r="I682" i="5"/>
  <c r="H682" i="5"/>
  <c r="E682" i="5"/>
  <c r="X682" i="5" s="1"/>
  <c r="F682" i="5"/>
  <c r="J682" i="5"/>
  <c r="R682" i="5"/>
  <c r="J683" i="5"/>
  <c r="F683" i="5"/>
  <c r="R683" i="5"/>
  <c r="I683" i="5"/>
  <c r="H683" i="5"/>
  <c r="E683" i="5"/>
  <c r="X683" i="5" s="1"/>
  <c r="F685" i="5"/>
  <c r="J685" i="5"/>
  <c r="I685" i="5"/>
  <c r="R685" i="5"/>
  <c r="H685" i="5"/>
  <c r="E685" i="5"/>
  <c r="X685" i="5" s="1"/>
  <c r="I686" i="5"/>
  <c r="F686" i="5"/>
  <c r="H686" i="5"/>
  <c r="R686" i="5"/>
  <c r="J686" i="5"/>
  <c r="E686" i="5"/>
  <c r="X686" i="5" s="1"/>
  <c r="R688" i="5"/>
  <c r="H688" i="5"/>
  <c r="F688" i="5"/>
  <c r="J688" i="5"/>
  <c r="I688" i="5"/>
  <c r="I689" i="5"/>
  <c r="F689" i="5"/>
  <c r="R689" i="5"/>
  <c r="E689" i="5"/>
  <c r="X689" i="5" s="1"/>
  <c r="J689" i="5"/>
  <c r="H689" i="5"/>
  <c r="F690" i="5"/>
  <c r="I690" i="5"/>
  <c r="J690" i="5"/>
  <c r="R690" i="5"/>
  <c r="H690" i="5"/>
  <c r="E690" i="5"/>
  <c r="X690" i="5" s="1"/>
  <c r="E691" i="5"/>
  <c r="X691" i="5" s="1"/>
  <c r="H691" i="5"/>
  <c r="F691" i="5"/>
  <c r="R691" i="5"/>
  <c r="I691" i="5"/>
  <c r="J691" i="5"/>
  <c r="R692" i="5"/>
  <c r="E692" i="5"/>
  <c r="X692" i="5" s="1"/>
  <c r="F692" i="5"/>
  <c r="J692" i="5"/>
  <c r="I692" i="5"/>
  <c r="H692" i="5"/>
  <c r="F693" i="5"/>
  <c r="I693" i="5"/>
  <c r="E693" i="5"/>
  <c r="X693" i="5" s="1"/>
  <c r="H693" i="5"/>
  <c r="J693" i="5"/>
  <c r="R693" i="5"/>
  <c r="H694" i="5"/>
  <c r="J694" i="5"/>
  <c r="E694" i="5"/>
  <c r="X694" i="5" s="1"/>
  <c r="F694" i="5"/>
  <c r="I694" i="5"/>
  <c r="R694" i="5"/>
  <c r="R696" i="5"/>
  <c r="E696" i="5"/>
  <c r="X696" i="5" s="1"/>
  <c r="J697" i="5"/>
  <c r="E697" i="5"/>
  <c r="X697" i="5" s="1"/>
  <c r="I697" i="5"/>
  <c r="H697" i="5"/>
  <c r="R697" i="5"/>
  <c r="F697" i="5"/>
  <c r="F698" i="5"/>
  <c r="E698" i="5"/>
  <c r="X698" i="5" s="1"/>
  <c r="I698" i="5"/>
  <c r="J698" i="5"/>
  <c r="R698" i="5"/>
  <c r="H698" i="5"/>
  <c r="F699" i="5"/>
  <c r="R699" i="5"/>
  <c r="J699" i="5"/>
  <c r="I699" i="5"/>
  <c r="E699" i="5"/>
  <c r="X699" i="5" s="1"/>
  <c r="H699" i="5"/>
  <c r="F700" i="5"/>
  <c r="R700" i="5"/>
  <c r="H700" i="5"/>
  <c r="E700" i="5"/>
  <c r="X700" i="5" s="1"/>
  <c r="J700" i="5"/>
  <c r="I700" i="5"/>
  <c r="E701" i="5"/>
  <c r="X701" i="5" s="1"/>
  <c r="R701" i="5"/>
  <c r="J701" i="5"/>
  <c r="F701" i="5"/>
  <c r="I701" i="5"/>
  <c r="H701" i="5"/>
  <c r="E702" i="5"/>
  <c r="X702" i="5" s="1"/>
  <c r="H702" i="5"/>
  <c r="R702" i="5"/>
  <c r="J702" i="5"/>
  <c r="F702" i="5"/>
  <c r="I702" i="5"/>
  <c r="J703" i="5"/>
  <c r="I703" i="5"/>
  <c r="H703" i="5"/>
  <c r="R703" i="5"/>
  <c r="F703" i="5"/>
  <c r="I704" i="5"/>
  <c r="H704" i="5"/>
  <c r="E704" i="5"/>
  <c r="X704" i="5" s="1"/>
  <c r="J704" i="5"/>
  <c r="F704" i="5"/>
  <c r="R704" i="5"/>
  <c r="H705" i="5"/>
  <c r="E705" i="5"/>
  <c r="X705" i="5" s="1"/>
  <c r="I705" i="5"/>
  <c r="J705" i="5"/>
  <c r="R705" i="5"/>
  <c r="F705" i="5"/>
  <c r="F706" i="5"/>
  <c r="I706" i="5"/>
  <c r="J706" i="5"/>
  <c r="R706" i="5"/>
  <c r="H706" i="5"/>
  <c r="H707" i="5"/>
  <c r="R707" i="5"/>
  <c r="I707" i="5"/>
  <c r="F707" i="5"/>
  <c r="J707" i="5"/>
  <c r="E707" i="5"/>
  <c r="X707" i="5" s="1"/>
  <c r="H708" i="5"/>
  <c r="F708" i="5"/>
  <c r="J708" i="5"/>
  <c r="I708" i="5"/>
  <c r="R708" i="5"/>
  <c r="E709" i="5"/>
  <c r="X709" i="5" s="1"/>
  <c r="H709" i="5"/>
  <c r="R709" i="5"/>
  <c r="F709" i="5"/>
  <c r="J709" i="5"/>
  <c r="I709" i="5"/>
  <c r="E710" i="5"/>
  <c r="X710" i="5" s="1"/>
  <c r="J710" i="5"/>
  <c r="J711" i="5"/>
  <c r="H711" i="5"/>
  <c r="R711" i="5"/>
  <c r="I711" i="5"/>
  <c r="F711" i="5"/>
  <c r="E711" i="5"/>
  <c r="X711" i="5" s="1"/>
  <c r="E712" i="5"/>
  <c r="X712" i="5" s="1"/>
  <c r="F712" i="5"/>
  <c r="E713" i="5"/>
  <c r="X713" i="5" s="1"/>
  <c r="R713" i="5"/>
  <c r="H713" i="5"/>
  <c r="I713" i="5"/>
  <c r="J713" i="5"/>
  <c r="F713" i="5"/>
  <c r="H714" i="5"/>
  <c r="F714" i="5"/>
  <c r="R714" i="5"/>
  <c r="E714" i="5"/>
  <c r="X714" i="5" s="1"/>
  <c r="J714" i="5"/>
  <c r="I714" i="5"/>
  <c r="F715" i="5"/>
  <c r="E715" i="5"/>
  <c r="X715" i="5" s="1"/>
  <c r="R715" i="5"/>
  <c r="H715" i="5"/>
  <c r="J715" i="5"/>
  <c r="I715" i="5"/>
  <c r="H716" i="5"/>
  <c r="I716" i="5"/>
  <c r="J716" i="5"/>
  <c r="F716" i="5"/>
  <c r="E716" i="5"/>
  <c r="X716" i="5" s="1"/>
  <c r="R716" i="5"/>
  <c r="E718" i="5"/>
  <c r="X718" i="5" s="1"/>
  <c r="H718" i="5"/>
  <c r="R719" i="5"/>
  <c r="F719" i="5"/>
  <c r="I719" i="5"/>
  <c r="H719" i="5"/>
  <c r="E719" i="5"/>
  <c r="X719" i="5" s="1"/>
  <c r="J719" i="5"/>
  <c r="F720" i="5"/>
  <c r="E720" i="5"/>
  <c r="X720" i="5" s="1"/>
  <c r="F721" i="5"/>
  <c r="I721" i="5"/>
  <c r="E721" i="5"/>
  <c r="X721" i="5" s="1"/>
  <c r="J721" i="5"/>
  <c r="H721" i="5"/>
  <c r="R721" i="5"/>
  <c r="F722" i="5"/>
  <c r="E722" i="5"/>
  <c r="X722" i="5" s="1"/>
  <c r="I722" i="5"/>
  <c r="H722" i="5"/>
  <c r="R722" i="5"/>
  <c r="J722" i="5"/>
  <c r="H723" i="5"/>
  <c r="I723" i="5"/>
  <c r="J723" i="5"/>
  <c r="E723" i="5"/>
  <c r="X723" i="5" s="1"/>
  <c r="F723" i="5"/>
  <c r="R723" i="5"/>
  <c r="E724" i="5"/>
  <c r="X724" i="5" s="1"/>
  <c r="H724" i="5"/>
  <c r="R724" i="5"/>
  <c r="F724" i="5"/>
  <c r="J724" i="5"/>
  <c r="I724" i="5"/>
  <c r="F725" i="5"/>
  <c r="J725" i="5"/>
  <c r="R725" i="5"/>
  <c r="E725" i="5"/>
  <c r="X725" i="5" s="1"/>
  <c r="I725" i="5"/>
  <c r="H725" i="5"/>
  <c r="R726" i="5"/>
  <c r="H726" i="5"/>
  <c r="I726" i="5"/>
  <c r="E726" i="5"/>
  <c r="X726" i="5" s="1"/>
  <c r="F726" i="5"/>
  <c r="J726" i="5"/>
  <c r="I727" i="5"/>
  <c r="H727" i="5"/>
  <c r="F727" i="5"/>
  <c r="E727" i="5"/>
  <c r="X727" i="5" s="1"/>
  <c r="R727" i="5"/>
  <c r="J727" i="5"/>
  <c r="I728" i="5"/>
  <c r="H728" i="5"/>
  <c r="F728" i="5"/>
  <c r="R728" i="5"/>
  <c r="J728" i="5"/>
  <c r="E728" i="5"/>
  <c r="X728" i="5" s="1"/>
  <c r="E729" i="5"/>
  <c r="X729" i="5" s="1"/>
  <c r="H729" i="5"/>
  <c r="F729" i="5"/>
  <c r="J729" i="5"/>
  <c r="I729" i="5"/>
  <c r="R729" i="5"/>
  <c r="J730" i="5"/>
  <c r="F730" i="5"/>
  <c r="E730" i="5"/>
  <c r="X730" i="5" s="1"/>
  <c r="I731" i="5"/>
  <c r="F731" i="5"/>
  <c r="H731" i="5"/>
  <c r="E731" i="5"/>
  <c r="X731" i="5" s="1"/>
  <c r="J731" i="5"/>
  <c r="R731" i="5"/>
  <c r="F732" i="5"/>
  <c r="R732" i="5"/>
  <c r="E732" i="5"/>
  <c r="X732" i="5" s="1"/>
  <c r="I732" i="5"/>
  <c r="H732" i="5"/>
  <c r="J732" i="5"/>
  <c r="I733" i="5"/>
  <c r="F733" i="5"/>
  <c r="E733" i="5"/>
  <c r="X733" i="5" s="1"/>
  <c r="R733" i="5"/>
  <c r="J733" i="5"/>
  <c r="H733" i="5"/>
  <c r="H734" i="5"/>
  <c r="F734" i="5"/>
  <c r="E734" i="5"/>
  <c r="X734" i="5" s="1"/>
  <c r="J734" i="5"/>
  <c r="R734" i="5"/>
  <c r="I734" i="5"/>
  <c r="E735" i="5"/>
  <c r="X735" i="5" s="1"/>
  <c r="H735" i="5"/>
  <c r="I735" i="5"/>
  <c r="R735" i="5"/>
  <c r="F735" i="5"/>
  <c r="J735" i="5"/>
  <c r="H736" i="5"/>
  <c r="J736" i="5"/>
  <c r="E736" i="5"/>
  <c r="X736" i="5" s="1"/>
  <c r="I736" i="5"/>
  <c r="F736" i="5"/>
  <c r="R736" i="5"/>
  <c r="E737" i="5"/>
  <c r="X737" i="5" s="1"/>
  <c r="H737" i="5"/>
  <c r="R737" i="5"/>
  <c r="I737" i="5"/>
  <c r="J737" i="5"/>
  <c r="F737" i="5"/>
  <c r="E739" i="5"/>
  <c r="X739" i="5" s="1"/>
  <c r="I739" i="5"/>
  <c r="R739" i="5"/>
  <c r="F739" i="5"/>
  <c r="H739" i="5"/>
  <c r="J739" i="5"/>
  <c r="I740" i="5"/>
  <c r="F740" i="5"/>
  <c r="E740" i="5"/>
  <c r="X740" i="5" s="1"/>
  <c r="R740" i="5"/>
  <c r="J740" i="5"/>
  <c r="H740" i="5"/>
  <c r="E741" i="5"/>
  <c r="X741" i="5" s="1"/>
  <c r="J741" i="5"/>
  <c r="R741" i="5"/>
  <c r="I741" i="5"/>
  <c r="F741" i="5"/>
  <c r="H741" i="5"/>
  <c r="F742" i="5"/>
  <c r="I742" i="5"/>
  <c r="R742" i="5"/>
  <c r="H742" i="5"/>
  <c r="J742" i="5"/>
  <c r="I743" i="5"/>
  <c r="F743" i="5"/>
  <c r="J743" i="5"/>
  <c r="H743" i="5"/>
  <c r="E743" i="5"/>
  <c r="X743" i="5" s="1"/>
  <c r="R743" i="5"/>
  <c r="E744" i="5"/>
  <c r="X744" i="5" s="1"/>
  <c r="H744" i="5"/>
  <c r="F744" i="5"/>
  <c r="R744" i="5"/>
  <c r="J744" i="5"/>
  <c r="I744" i="5"/>
  <c r="H745" i="5"/>
  <c r="I745" i="5"/>
  <c r="R745" i="5"/>
  <c r="J745" i="5"/>
  <c r="F745" i="5"/>
  <c r="E745" i="5"/>
  <c r="X745" i="5" s="1"/>
  <c r="F746" i="5"/>
  <c r="E746" i="5"/>
  <c r="X746" i="5" s="1"/>
  <c r="I747" i="5"/>
  <c r="H747" i="5"/>
  <c r="F747" i="5"/>
  <c r="R747" i="5"/>
  <c r="E747" i="5"/>
  <c r="X747" i="5" s="1"/>
  <c r="J747" i="5"/>
  <c r="F748" i="5"/>
  <c r="J748" i="5"/>
  <c r="E748" i="5"/>
  <c r="X748" i="5" s="1"/>
  <c r="H748" i="5"/>
  <c r="R748" i="5"/>
  <c r="I748" i="5"/>
  <c r="R750" i="5"/>
  <c r="E750" i="5"/>
  <c r="X750" i="5" s="1"/>
  <c r="F751" i="5"/>
  <c r="R751" i="5"/>
  <c r="I751" i="5"/>
  <c r="E751" i="5"/>
  <c r="X751" i="5" s="1"/>
  <c r="J751" i="5"/>
  <c r="H751" i="5"/>
  <c r="R752" i="5"/>
  <c r="E752" i="5"/>
  <c r="X752" i="5" s="1"/>
  <c r="I753" i="5"/>
  <c r="H753" i="5"/>
  <c r="J753" i="5"/>
  <c r="F753" i="5"/>
  <c r="R753" i="5"/>
  <c r="E753" i="5"/>
  <c r="X753" i="5" s="1"/>
  <c r="R755" i="5"/>
  <c r="J755" i="5"/>
  <c r="E755" i="5"/>
  <c r="X755" i="5" s="1"/>
  <c r="I755" i="5"/>
  <c r="H755" i="5"/>
  <c r="F755" i="5"/>
  <c r="F756" i="5"/>
  <c r="E756" i="5"/>
  <c r="X756" i="5" s="1"/>
  <c r="H756" i="5"/>
  <c r="J756" i="5"/>
  <c r="R756" i="5"/>
  <c r="I756" i="5"/>
  <c r="E757" i="5"/>
  <c r="X757" i="5" s="1"/>
  <c r="H757" i="5"/>
  <c r="H758" i="5"/>
  <c r="E758" i="5"/>
  <c r="X758" i="5" s="1"/>
  <c r="R758" i="5"/>
  <c r="J758" i="5"/>
  <c r="I758" i="5"/>
  <c r="F758" i="5"/>
  <c r="R759" i="5"/>
  <c r="E759" i="5"/>
  <c r="X759" i="5" s="1"/>
  <c r="I759" i="5"/>
  <c r="J759" i="5"/>
  <c r="H759" i="5"/>
  <c r="F759" i="5"/>
  <c r="H760" i="5"/>
  <c r="J760" i="5"/>
  <c r="E760" i="5"/>
  <c r="X760" i="5" s="1"/>
  <c r="R760" i="5"/>
  <c r="I760" i="5"/>
  <c r="F760" i="5"/>
  <c r="E761" i="5"/>
  <c r="X761" i="5" s="1"/>
  <c r="H761" i="5"/>
  <c r="R761" i="5"/>
  <c r="F761" i="5"/>
  <c r="J761" i="5"/>
  <c r="I761" i="5"/>
  <c r="I763" i="5"/>
  <c r="R763" i="5"/>
  <c r="H763" i="5"/>
  <c r="J763" i="5"/>
  <c r="F763" i="5"/>
  <c r="E763" i="5"/>
  <c r="X763" i="5" s="1"/>
  <c r="I764" i="5"/>
  <c r="E764" i="5"/>
  <c r="X764" i="5" s="1"/>
  <c r="R764" i="5"/>
  <c r="F764" i="5"/>
  <c r="H764" i="5"/>
  <c r="J764" i="5"/>
  <c r="J765" i="5"/>
  <c r="R765" i="5"/>
  <c r="H765" i="5"/>
  <c r="E765" i="5"/>
  <c r="X765" i="5" s="1"/>
  <c r="I765" i="5"/>
  <c r="F765" i="5"/>
  <c r="R766" i="5"/>
  <c r="E766" i="5"/>
  <c r="X766" i="5" s="1"/>
  <c r="R767" i="5"/>
  <c r="E767" i="5"/>
  <c r="X767" i="5" s="1"/>
  <c r="H768" i="5"/>
  <c r="E768" i="5"/>
  <c r="X768" i="5" s="1"/>
  <c r="R768" i="5"/>
  <c r="F768" i="5"/>
  <c r="I768" i="5"/>
  <c r="J768" i="5"/>
  <c r="R769" i="5"/>
  <c r="I769" i="5"/>
  <c r="J769" i="5"/>
  <c r="H769" i="5"/>
  <c r="F769" i="5"/>
  <c r="E769" i="5"/>
  <c r="X769" i="5" s="1"/>
  <c r="F770" i="5"/>
  <c r="I770" i="5"/>
  <c r="E770" i="5"/>
  <c r="X770" i="5" s="1"/>
  <c r="J770" i="5"/>
  <c r="H770" i="5"/>
  <c r="R770" i="5"/>
  <c r="J771" i="5"/>
  <c r="R771" i="5"/>
  <c r="I771" i="5"/>
  <c r="H771" i="5"/>
  <c r="F771" i="5"/>
  <c r="E771" i="5"/>
  <c r="X771" i="5" s="1"/>
  <c r="R772" i="5"/>
  <c r="H772" i="5"/>
  <c r="I772" i="5"/>
  <c r="J772" i="5"/>
  <c r="F772" i="5"/>
  <c r="E772" i="5"/>
  <c r="X772" i="5" s="1"/>
  <c r="R773" i="5"/>
  <c r="H773" i="5"/>
  <c r="F773" i="5"/>
  <c r="I773" i="5"/>
  <c r="J773" i="5"/>
  <c r="E773" i="5"/>
  <c r="X773" i="5" s="1"/>
  <c r="R776" i="5"/>
  <c r="H776" i="5"/>
  <c r="J776" i="5"/>
  <c r="E776" i="5"/>
  <c r="X776" i="5" s="1"/>
  <c r="F776" i="5"/>
  <c r="I776" i="5"/>
  <c r="F777" i="5"/>
  <c r="H777" i="5"/>
  <c r="J777" i="5"/>
  <c r="I777" i="5"/>
  <c r="R777" i="5"/>
  <c r="E777" i="5"/>
  <c r="X777" i="5" s="1"/>
  <c r="R778" i="5"/>
  <c r="I778" i="5"/>
  <c r="H778" i="5"/>
  <c r="J778" i="5"/>
  <c r="F778" i="5"/>
  <c r="E778" i="5"/>
  <c r="X778" i="5" s="1"/>
  <c r="I779" i="5"/>
  <c r="H779" i="5"/>
  <c r="F779" i="5"/>
  <c r="E779" i="5"/>
  <c r="X779" i="5" s="1"/>
  <c r="R779" i="5"/>
  <c r="J779" i="5"/>
  <c r="J780" i="5"/>
  <c r="R780" i="5"/>
  <c r="E780" i="5"/>
  <c r="X780" i="5" s="1"/>
  <c r="I780" i="5"/>
  <c r="F780" i="5"/>
  <c r="H780" i="5"/>
  <c r="I781" i="5"/>
  <c r="J781" i="5"/>
  <c r="F781" i="5"/>
  <c r="H781" i="5"/>
  <c r="R781" i="5"/>
  <c r="E781" i="5"/>
  <c r="X781" i="5" s="1"/>
  <c r="I782" i="5"/>
  <c r="F782" i="5"/>
  <c r="R782" i="5"/>
  <c r="H782" i="5"/>
  <c r="E782" i="5"/>
  <c r="X782" i="5" s="1"/>
  <c r="J782" i="5"/>
  <c r="E783" i="5"/>
  <c r="X783" i="5" s="1"/>
  <c r="R783" i="5"/>
  <c r="F784" i="5"/>
  <c r="H784" i="5"/>
  <c r="I784" i="5"/>
  <c r="R784" i="5"/>
  <c r="J784" i="5"/>
  <c r="E784" i="5"/>
  <c r="X784" i="5" s="1"/>
  <c r="H785" i="5"/>
  <c r="F785" i="5"/>
  <c r="J785" i="5"/>
  <c r="I785" i="5"/>
  <c r="R785" i="5"/>
  <c r="E785" i="5"/>
  <c r="X785" i="5" s="1"/>
  <c r="I786" i="5"/>
  <c r="F786" i="5"/>
  <c r="H786" i="5"/>
  <c r="E786" i="5"/>
  <c r="X786" i="5" s="1"/>
  <c r="J786" i="5"/>
  <c r="R786" i="5"/>
  <c r="J787" i="5"/>
  <c r="R787" i="5"/>
  <c r="E787" i="5"/>
  <c r="X787" i="5" s="1"/>
  <c r="I787" i="5"/>
  <c r="F787" i="5"/>
  <c r="H787" i="5"/>
  <c r="H788" i="5"/>
  <c r="F788" i="5"/>
  <c r="J788" i="5"/>
  <c r="E788" i="5"/>
  <c r="X788" i="5" s="1"/>
  <c r="R788" i="5"/>
  <c r="I788" i="5"/>
  <c r="E789" i="5"/>
  <c r="X789" i="5" s="1"/>
  <c r="I789" i="5"/>
  <c r="J789" i="5"/>
  <c r="H789" i="5"/>
  <c r="R789" i="5"/>
  <c r="F789" i="5"/>
  <c r="R790" i="5"/>
  <c r="H790" i="5"/>
  <c r="E790" i="5"/>
  <c r="X790" i="5" s="1"/>
  <c r="J790" i="5"/>
  <c r="I790" i="5"/>
  <c r="F790" i="5"/>
  <c r="F791" i="5"/>
  <c r="H791" i="5"/>
  <c r="I791" i="5"/>
  <c r="R791" i="5"/>
  <c r="J791" i="5"/>
  <c r="E791" i="5"/>
  <c r="X791" i="5" s="1"/>
  <c r="J792" i="5"/>
  <c r="R792" i="5"/>
  <c r="F792" i="5"/>
  <c r="H792" i="5"/>
  <c r="I792" i="5"/>
  <c r="E792" i="5"/>
  <c r="X792" i="5" s="1"/>
  <c r="E793" i="5"/>
  <c r="X793" i="5" s="1"/>
  <c r="I793" i="5"/>
  <c r="J793" i="5"/>
  <c r="F793" i="5"/>
  <c r="R793" i="5"/>
  <c r="H793" i="5"/>
  <c r="I795" i="5"/>
  <c r="R795" i="5"/>
  <c r="J795" i="5"/>
  <c r="F795" i="5"/>
  <c r="H795" i="5"/>
  <c r="J796" i="5"/>
  <c r="R796" i="5"/>
  <c r="I796" i="5"/>
  <c r="H796" i="5"/>
  <c r="F796" i="5"/>
  <c r="E796" i="5"/>
  <c r="X796" i="5" s="1"/>
  <c r="H797" i="5"/>
  <c r="R797" i="5"/>
  <c r="F797" i="5"/>
  <c r="I797" i="5"/>
  <c r="E797" i="5"/>
  <c r="X797" i="5" s="1"/>
  <c r="J797" i="5"/>
  <c r="E798" i="5"/>
  <c r="X798" i="5" s="1"/>
  <c r="R798" i="5"/>
  <c r="F798" i="5"/>
  <c r="I798" i="5"/>
  <c r="J798" i="5"/>
  <c r="H798" i="5"/>
  <c r="E799" i="5"/>
  <c r="X799" i="5" s="1"/>
  <c r="J799" i="5"/>
  <c r="F800" i="5"/>
  <c r="I800" i="5"/>
  <c r="E800" i="5"/>
  <c r="X800" i="5" s="1"/>
  <c r="J800" i="5"/>
  <c r="H800" i="5"/>
  <c r="R800" i="5"/>
  <c r="I801" i="5"/>
  <c r="H801" i="5"/>
  <c r="E801" i="5"/>
  <c r="X801" i="5" s="1"/>
  <c r="J801" i="5"/>
  <c r="R801" i="5"/>
  <c r="F801" i="5"/>
  <c r="H802" i="5"/>
  <c r="R802" i="5"/>
  <c r="F802" i="5"/>
  <c r="J802" i="5"/>
  <c r="I802" i="5"/>
  <c r="E802" i="5"/>
  <c r="X802" i="5" s="1"/>
  <c r="I803" i="5"/>
  <c r="E803" i="5"/>
  <c r="X803" i="5" s="1"/>
  <c r="J803" i="5"/>
  <c r="H803" i="5"/>
  <c r="F803" i="5"/>
  <c r="R803" i="5"/>
  <c r="E804" i="5"/>
  <c r="X804" i="5" s="1"/>
  <c r="R804" i="5"/>
  <c r="H804" i="5"/>
  <c r="J804" i="5"/>
  <c r="I804" i="5"/>
  <c r="F804" i="5"/>
  <c r="R805" i="5"/>
  <c r="I805" i="5"/>
  <c r="J805" i="5"/>
  <c r="E805" i="5"/>
  <c r="X805" i="5" s="1"/>
  <c r="F805" i="5"/>
  <c r="H805" i="5"/>
  <c r="H806" i="5"/>
  <c r="E806" i="5"/>
  <c r="X806" i="5" s="1"/>
  <c r="I806" i="5"/>
  <c r="F806" i="5"/>
  <c r="J806" i="5"/>
  <c r="R806" i="5"/>
  <c r="R807" i="5"/>
  <c r="I807" i="5"/>
  <c r="J807" i="5"/>
  <c r="F807" i="5"/>
  <c r="E807" i="5"/>
  <c r="X807" i="5" s="1"/>
  <c r="H807" i="5"/>
  <c r="F809" i="5"/>
  <c r="R809" i="5"/>
  <c r="H809" i="5"/>
  <c r="J809" i="5"/>
  <c r="E809" i="5"/>
  <c r="X809" i="5" s="1"/>
  <c r="I809" i="5"/>
  <c r="E810" i="5"/>
  <c r="X810" i="5" s="1"/>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s="1"/>
  <c r="I816" i="5"/>
  <c r="F816" i="5"/>
  <c r="R816" i="5"/>
  <c r="J816" i="5"/>
  <c r="H816" i="5"/>
  <c r="H819" i="5"/>
  <c r="R819" i="5"/>
  <c r="F819" i="5"/>
  <c r="J819" i="5"/>
  <c r="I819" i="5"/>
  <c r="E819" i="5"/>
  <c r="X819" i="5" s="1"/>
  <c r="H820" i="5"/>
  <c r="I820" i="5"/>
  <c r="R820" i="5"/>
  <c r="J820" i="5"/>
  <c r="E820" i="5"/>
  <c r="X820" i="5" s="1"/>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s="1"/>
  <c r="H827" i="5"/>
  <c r="J827" i="5"/>
  <c r="I827" i="5"/>
  <c r="F827" i="5"/>
  <c r="R827" i="5"/>
  <c r="F828" i="5"/>
  <c r="H828" i="5"/>
  <c r="R828" i="5"/>
  <c r="I828" i="5"/>
  <c r="J828" i="5"/>
  <c r="E828" i="5"/>
  <c r="X828" i="5" s="1"/>
  <c r="F829" i="5"/>
  <c r="E829" i="5"/>
  <c r="X829" i="5" s="1"/>
  <c r="J830" i="5"/>
  <c r="R830" i="5"/>
  <c r="F830" i="5"/>
  <c r="I830" i="5"/>
  <c r="H830" i="5"/>
  <c r="E830" i="5"/>
  <c r="X830" i="5" s="1"/>
  <c r="I831" i="5"/>
  <c r="R831" i="5"/>
  <c r="H831" i="5"/>
  <c r="F831" i="5"/>
  <c r="J831" i="5"/>
  <c r="E831" i="5"/>
  <c r="X831" i="5" s="1"/>
  <c r="F832" i="5"/>
  <c r="H832" i="5"/>
  <c r="I832" i="5"/>
  <c r="E832" i="5"/>
  <c r="X832" i="5" s="1"/>
  <c r="J832" i="5"/>
  <c r="R832" i="5"/>
  <c r="I834" i="5"/>
  <c r="H834" i="5"/>
  <c r="R834" i="5"/>
  <c r="F834" i="5"/>
  <c r="E834" i="5"/>
  <c r="X834" i="5" s="1"/>
  <c r="J834" i="5"/>
  <c r="F835" i="5"/>
  <c r="I835" i="5"/>
  <c r="J835" i="5"/>
  <c r="R835" i="5"/>
  <c r="E835" i="5"/>
  <c r="X835" i="5" s="1"/>
  <c r="H835" i="5"/>
  <c r="E838" i="5"/>
  <c r="X838" i="5" s="1"/>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s="1"/>
  <c r="J846" i="5"/>
  <c r="F846" i="5"/>
  <c r="I846" i="5"/>
  <c r="E848" i="5"/>
  <c r="X848" i="5" s="1"/>
  <c r="R848" i="5"/>
  <c r="F848" i="5"/>
  <c r="J848" i="5"/>
  <c r="H848" i="5"/>
  <c r="I848" i="5"/>
  <c r="H849" i="5"/>
  <c r="J849" i="5"/>
  <c r="E849" i="5"/>
  <c r="X849" i="5" s="1"/>
  <c r="R849" i="5"/>
  <c r="F849" i="5"/>
  <c r="I849" i="5"/>
  <c r="E850" i="5"/>
  <c r="X850" i="5" s="1"/>
  <c r="J850" i="5"/>
  <c r="R850" i="5"/>
  <c r="F850" i="5"/>
  <c r="H850" i="5"/>
  <c r="I850" i="5"/>
  <c r="J851" i="5"/>
  <c r="R851" i="5"/>
  <c r="E851" i="5"/>
  <c r="X851" i="5" s="1"/>
  <c r="I852" i="5"/>
  <c r="E852" i="5"/>
  <c r="X852" i="5" s="1"/>
  <c r="F855" i="5"/>
  <c r="I855" i="5"/>
  <c r="H855" i="5"/>
  <c r="E855" i="5"/>
  <c r="X855" i="5" s="1"/>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s="1"/>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s="1"/>
  <c r="J867" i="5"/>
  <c r="F869" i="5"/>
  <c r="E869" i="5"/>
  <c r="X869" i="5" s="1"/>
  <c r="H872" i="5"/>
  <c r="E872" i="5"/>
  <c r="X872" i="5" s="1"/>
  <c r="I873" i="5"/>
  <c r="F873" i="5"/>
  <c r="E873" i="5"/>
  <c r="X873" i="5" s="1"/>
  <c r="R873" i="5"/>
  <c r="H873" i="5"/>
  <c r="J873" i="5"/>
  <c r="R876" i="5"/>
  <c r="J876" i="5"/>
  <c r="E876" i="5"/>
  <c r="X876" i="5" s="1"/>
  <c r="I876" i="5"/>
  <c r="H876" i="5"/>
  <c r="F876" i="5"/>
  <c r="J877" i="5"/>
  <c r="R877" i="5"/>
  <c r="E877" i="5"/>
  <c r="X877" i="5" s="1"/>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s="1"/>
  <c r="F885" i="5"/>
  <c r="J885" i="5"/>
  <c r="R885" i="5"/>
  <c r="H885" i="5"/>
  <c r="I885" i="5"/>
  <c r="E886" i="5"/>
  <c r="X886" i="5" s="1"/>
  <c r="H886" i="5"/>
  <c r="J886" i="5"/>
  <c r="I886" i="5"/>
  <c r="R886" i="5"/>
  <c r="F886" i="5"/>
  <c r="J887" i="5"/>
  <c r="I887" i="5"/>
  <c r="R887" i="5"/>
  <c r="F887" i="5"/>
  <c r="H887" i="5"/>
  <c r="H889" i="5"/>
  <c r="R889" i="5"/>
  <c r="F889" i="5"/>
  <c r="E889" i="5"/>
  <c r="X889" i="5" s="1"/>
  <c r="J889" i="5"/>
  <c r="I889" i="5"/>
  <c r="I890" i="5"/>
  <c r="E890" i="5"/>
  <c r="X890" i="5" s="1"/>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s="1"/>
  <c r="R899" i="5"/>
  <c r="H901" i="5"/>
  <c r="I901" i="5"/>
  <c r="R901" i="5"/>
  <c r="J901" i="5"/>
  <c r="F901" i="5"/>
  <c r="E901" i="5"/>
  <c r="X901" i="5" s="1"/>
  <c r="J902" i="5"/>
  <c r="I902" i="5"/>
  <c r="H902" i="5"/>
  <c r="R902" i="5"/>
  <c r="F902" i="5"/>
  <c r="E902" i="5"/>
  <c r="X902" i="5" s="1"/>
  <c r="J903" i="5"/>
  <c r="F903" i="5"/>
  <c r="H903" i="5"/>
  <c r="I903" i="5"/>
  <c r="R903" i="5"/>
  <c r="E903" i="5"/>
  <c r="X903" i="5" s="1"/>
  <c r="F904" i="5"/>
  <c r="R904" i="5"/>
  <c r="H904" i="5"/>
  <c r="J904" i="5"/>
  <c r="E904" i="5"/>
  <c r="X904" i="5" s="1"/>
  <c r="I904" i="5"/>
  <c r="E905" i="5"/>
  <c r="X905" i="5" s="1"/>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s="1"/>
  <c r="F910" i="5"/>
  <c r="F913" i="5"/>
  <c r="R913" i="5"/>
  <c r="H913" i="5"/>
  <c r="I913" i="5"/>
  <c r="E913" i="5"/>
  <c r="X913" i="5" s="1"/>
  <c r="J913" i="5"/>
  <c r="I915" i="5"/>
  <c r="J915" i="5"/>
  <c r="H917" i="5"/>
  <c r="E917" i="5"/>
  <c r="X917" i="5" s="1"/>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s="1"/>
  <c r="R922" i="5"/>
  <c r="H922" i="5"/>
  <c r="F922" i="5"/>
  <c r="I922" i="5"/>
  <c r="J922" i="5"/>
  <c r="H924" i="5"/>
  <c r="E924" i="5"/>
  <c r="X924" i="5" s="1"/>
  <c r="F924" i="5"/>
  <c r="R924" i="5"/>
  <c r="J924" i="5"/>
  <c r="I924" i="5"/>
  <c r="R925" i="5"/>
  <c r="E925" i="5"/>
  <c r="X925" i="5" s="1"/>
  <c r="F925" i="5"/>
  <c r="H925" i="5"/>
  <c r="I925" i="5"/>
  <c r="J925" i="5"/>
  <c r="E926" i="5"/>
  <c r="X926" i="5" s="1"/>
  <c r="I926" i="5"/>
  <c r="J926" i="5"/>
  <c r="F926" i="5"/>
  <c r="R926" i="5"/>
  <c r="H926" i="5"/>
  <c r="R929" i="5"/>
  <c r="H929" i="5"/>
  <c r="J929" i="5"/>
  <c r="I929" i="5"/>
  <c r="E929" i="5"/>
  <c r="X929" i="5" s="1"/>
  <c r="F929" i="5"/>
  <c r="H933" i="5"/>
  <c r="E933" i="5"/>
  <c r="X933" i="5" s="1"/>
  <c r="R933" i="5"/>
  <c r="I933" i="5"/>
  <c r="J933" i="5"/>
  <c r="F933" i="5"/>
  <c r="F934" i="5"/>
  <c r="E934" i="5"/>
  <c r="X934" i="5" s="1"/>
  <c r="H934" i="5"/>
  <c r="J934" i="5"/>
  <c r="R934" i="5"/>
  <c r="I934" i="5"/>
  <c r="E935" i="5"/>
  <c r="X935" i="5" s="1"/>
  <c r="J935" i="5"/>
  <c r="I935" i="5"/>
  <c r="R935" i="5"/>
  <c r="F935" i="5"/>
  <c r="H935" i="5"/>
  <c r="I936" i="5"/>
  <c r="J936" i="5"/>
  <c r="F936" i="5"/>
  <c r="H936" i="5"/>
  <c r="R936" i="5"/>
  <c r="E936" i="5"/>
  <c r="X936" i="5" s="1"/>
  <c r="E937" i="5"/>
  <c r="X937" i="5" s="1"/>
  <c r="H937" i="5"/>
  <c r="J937" i="5"/>
  <c r="R937" i="5"/>
  <c r="F937" i="5"/>
  <c r="I937" i="5"/>
  <c r="E938" i="5"/>
  <c r="X938" i="5" s="1"/>
  <c r="R938" i="5"/>
  <c r="I938" i="5"/>
  <c r="F938" i="5"/>
  <c r="H938" i="5"/>
  <c r="J938" i="5"/>
  <c r="R939" i="5"/>
  <c r="I939" i="5"/>
  <c r="J939" i="5"/>
  <c r="H939" i="5"/>
  <c r="F939" i="5"/>
  <c r="E939" i="5"/>
  <c r="X939" i="5" s="1"/>
  <c r="J940" i="5"/>
  <c r="H940" i="5"/>
  <c r="I940" i="5"/>
  <c r="R940" i="5"/>
  <c r="E940" i="5"/>
  <c r="X940" i="5" s="1"/>
  <c r="F940" i="5"/>
  <c r="H941" i="5"/>
  <c r="F941" i="5"/>
  <c r="I941" i="5"/>
  <c r="J941" i="5"/>
  <c r="R941" i="5"/>
  <c r="E941" i="5"/>
  <c r="X941" i="5" s="1"/>
  <c r="I943" i="5"/>
  <c r="R943" i="5"/>
  <c r="E943" i="5"/>
  <c r="X943" i="5" s="1"/>
  <c r="E944" i="5"/>
  <c r="X944" i="5" s="1"/>
  <c r="H944" i="5"/>
  <c r="F944" i="5"/>
  <c r="I944" i="5"/>
  <c r="R944" i="5"/>
  <c r="J944" i="5"/>
  <c r="I945" i="5"/>
  <c r="E945" i="5"/>
  <c r="X945" i="5" s="1"/>
  <c r="H945" i="5"/>
  <c r="F945" i="5"/>
  <c r="J945" i="5"/>
  <c r="R945" i="5"/>
  <c r="F946" i="5"/>
  <c r="H946" i="5"/>
  <c r="R946" i="5"/>
  <c r="I946" i="5"/>
  <c r="J946" i="5"/>
  <c r="E946" i="5"/>
  <c r="X946" i="5" s="1"/>
  <c r="F947" i="5"/>
  <c r="I947" i="5"/>
  <c r="R947" i="5"/>
  <c r="J947" i="5"/>
  <c r="H947" i="5"/>
  <c r="H948" i="5"/>
  <c r="R948" i="5"/>
  <c r="E948" i="5"/>
  <c r="X948" i="5" s="1"/>
  <c r="F948" i="5"/>
  <c r="J948" i="5"/>
  <c r="I948" i="5"/>
  <c r="R949" i="5"/>
  <c r="F949" i="5"/>
  <c r="H949" i="5"/>
  <c r="J949" i="5"/>
  <c r="I949" i="5"/>
  <c r="E949" i="5"/>
  <c r="X949" i="5" s="1"/>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s="1"/>
  <c r="R954" i="5"/>
  <c r="J954" i="5"/>
  <c r="H955" i="5"/>
  <c r="J955" i="5"/>
  <c r="I955" i="5"/>
  <c r="R955" i="5"/>
  <c r="E955" i="5"/>
  <c r="X955" i="5" s="1"/>
  <c r="F955" i="5"/>
  <c r="R957" i="5"/>
  <c r="J957" i="5"/>
  <c r="E957" i="5"/>
  <c r="X957" i="5" s="1"/>
  <c r="F957" i="5"/>
  <c r="I957" i="5"/>
  <c r="H957" i="5"/>
  <c r="J958" i="5"/>
  <c r="H958" i="5"/>
  <c r="R958" i="5"/>
  <c r="E958" i="5"/>
  <c r="X958" i="5" s="1"/>
  <c r="F958" i="5"/>
  <c r="I958" i="5"/>
  <c r="F959" i="5"/>
  <c r="E959" i="5"/>
  <c r="X959" i="5" s="1"/>
  <c r="J959" i="5"/>
  <c r="R959" i="5"/>
  <c r="I959" i="5"/>
  <c r="H959" i="5"/>
  <c r="E961" i="5"/>
  <c r="X961" i="5" s="1"/>
  <c r="R961" i="5"/>
  <c r="I961" i="5"/>
  <c r="F961" i="5"/>
  <c r="H961" i="5"/>
  <c r="J961" i="5"/>
  <c r="I962" i="5"/>
  <c r="J962" i="5"/>
  <c r="R962" i="5"/>
  <c r="E962" i="5"/>
  <c r="X962" i="5" s="1"/>
  <c r="F962" i="5"/>
  <c r="H962" i="5"/>
  <c r="E963" i="5"/>
  <c r="X963" i="5" s="1"/>
  <c r="H963" i="5"/>
  <c r="F963" i="5"/>
  <c r="J963" i="5"/>
  <c r="I963" i="5"/>
  <c r="R963" i="5"/>
  <c r="R965" i="5"/>
  <c r="F965" i="5"/>
  <c r="H965" i="5"/>
  <c r="I965" i="5"/>
  <c r="J965" i="5"/>
  <c r="E965" i="5"/>
  <c r="X965" i="5" s="1"/>
  <c r="E966" i="5"/>
  <c r="X966" i="5" s="1"/>
  <c r="R966" i="5"/>
  <c r="J966" i="5"/>
  <c r="I966" i="5"/>
  <c r="F966" i="5"/>
  <c r="H966" i="5"/>
  <c r="H967" i="5"/>
  <c r="E967" i="5"/>
  <c r="X967" i="5" s="1"/>
  <c r="J967" i="5"/>
  <c r="F969" i="5"/>
  <c r="J969" i="5"/>
  <c r="H969" i="5"/>
  <c r="E969" i="5"/>
  <c r="X969" i="5" s="1"/>
  <c r="R969" i="5"/>
  <c r="I969" i="5"/>
  <c r="J971" i="5"/>
  <c r="E971" i="5"/>
  <c r="X971" i="5" s="1"/>
  <c r="J973" i="5"/>
  <c r="F973" i="5"/>
  <c r="R973" i="5"/>
  <c r="I973" i="5"/>
  <c r="H973" i="5"/>
  <c r="E973" i="5"/>
  <c r="X973" i="5" s="1"/>
  <c r="E974" i="5"/>
  <c r="X974" i="5" s="1"/>
  <c r="H974" i="5"/>
  <c r="R975" i="5"/>
  <c r="F975" i="5"/>
  <c r="H975" i="5"/>
  <c r="E975" i="5"/>
  <c r="X975" i="5" s="1"/>
  <c r="J975" i="5"/>
  <c r="I975" i="5"/>
  <c r="H977" i="5"/>
  <c r="I977" i="5"/>
  <c r="E977" i="5"/>
  <c r="X977" i="5" s="1"/>
  <c r="F977" i="5"/>
  <c r="R977" i="5"/>
  <c r="J977" i="5"/>
  <c r="F978" i="5"/>
  <c r="H978" i="5"/>
  <c r="E978" i="5"/>
  <c r="X978" i="5" s="1"/>
  <c r="J978" i="5"/>
  <c r="I978" i="5"/>
  <c r="R978" i="5"/>
  <c r="I981" i="5"/>
  <c r="F981" i="5"/>
  <c r="H981" i="5"/>
  <c r="J981" i="5"/>
  <c r="E981" i="5"/>
  <c r="X981" i="5" s="1"/>
  <c r="R981" i="5"/>
  <c r="E982" i="5"/>
  <c r="X982" i="5" s="1"/>
  <c r="R982" i="5"/>
  <c r="J986" i="5"/>
  <c r="I986" i="5"/>
  <c r="H986" i="5"/>
  <c r="F986" i="5"/>
  <c r="R986" i="5"/>
  <c r="J990" i="5"/>
  <c r="E990" i="5"/>
  <c r="X990" i="5" s="1"/>
  <c r="I990" i="5"/>
  <c r="H990" i="5"/>
  <c r="F990" i="5"/>
  <c r="R990" i="5"/>
  <c r="I991" i="5"/>
  <c r="E991" i="5"/>
  <c r="X991" i="5" s="1"/>
  <c r="J991" i="5"/>
  <c r="H991" i="5"/>
  <c r="F991" i="5"/>
  <c r="R991" i="5"/>
  <c r="R993" i="5"/>
  <c r="I993" i="5"/>
  <c r="J993" i="5"/>
  <c r="E993" i="5"/>
  <c r="X993" i="5" s="1"/>
  <c r="F993" i="5"/>
  <c r="H993" i="5"/>
  <c r="F994" i="5"/>
  <c r="J994" i="5"/>
  <c r="I994" i="5"/>
  <c r="H994" i="5"/>
  <c r="R994" i="5"/>
  <c r="E994" i="5"/>
  <c r="X994" i="5" s="1"/>
  <c r="E995" i="5"/>
  <c r="X995" i="5" s="1"/>
  <c r="I995" i="5"/>
  <c r="R995" i="5"/>
  <c r="F995" i="5"/>
  <c r="H995" i="5"/>
  <c r="J995" i="5"/>
  <c r="R997" i="5"/>
  <c r="I997" i="5"/>
  <c r="F997" i="5"/>
  <c r="H997" i="5"/>
  <c r="E997" i="5"/>
  <c r="X997" i="5" s="1"/>
  <c r="J997" i="5"/>
  <c r="F998" i="5"/>
  <c r="J998" i="5"/>
  <c r="R998" i="5"/>
  <c r="I998" i="5"/>
  <c r="E998" i="5"/>
  <c r="X998" i="5" s="1"/>
  <c r="H998" i="5"/>
  <c r="I999" i="5"/>
  <c r="E999" i="5"/>
  <c r="X999" i="5" s="1"/>
  <c r="F999" i="5"/>
  <c r="H999" i="5"/>
  <c r="J999" i="5"/>
  <c r="R999" i="5"/>
  <c r="I1000" i="5"/>
  <c r="E1000" i="5"/>
  <c r="X1000" i="5" s="1"/>
  <c r="H1000" i="5"/>
  <c r="R1000" i="5"/>
  <c r="F1000" i="5"/>
  <c r="J1000" i="5"/>
  <c r="E1001" i="5"/>
  <c r="X1001" i="5" s="1"/>
  <c r="J1001" i="5"/>
  <c r="I1001" i="5"/>
  <c r="H1001" i="5"/>
  <c r="R1001" i="5"/>
  <c r="F1001" i="5"/>
  <c r="F1002" i="5"/>
  <c r="I1002" i="5"/>
  <c r="J1002" i="5"/>
  <c r="R1002" i="5"/>
  <c r="H1002" i="5"/>
  <c r="E1002" i="5"/>
  <c r="X1002" i="5" s="1"/>
  <c r="J1005" i="5"/>
  <c r="H1005" i="5"/>
  <c r="F1005" i="5"/>
  <c r="R1005" i="5"/>
  <c r="E1005" i="5"/>
  <c r="X1005" i="5" s="1"/>
  <c r="I1005" i="5"/>
  <c r="F1006" i="5"/>
  <c r="J1006" i="5"/>
  <c r="E1006" i="5"/>
  <c r="X1006" i="5" s="1"/>
  <c r="H1006" i="5"/>
  <c r="I1006" i="5"/>
  <c r="R1006" i="5"/>
  <c r="I1007" i="5"/>
  <c r="E1007" i="5"/>
  <c r="X1007" i="5" s="1"/>
  <c r="R1007" i="5"/>
  <c r="H1009" i="5"/>
  <c r="I1009" i="5"/>
  <c r="J1009" i="5"/>
  <c r="R1009" i="5"/>
  <c r="F1009" i="5"/>
  <c r="E1009" i="5"/>
  <c r="X1009" i="5" s="1"/>
  <c r="J1010" i="5"/>
  <c r="I1010" i="5"/>
  <c r="H1010" i="5"/>
  <c r="F1010" i="5"/>
  <c r="E1010" i="5"/>
  <c r="X1010" i="5" s="1"/>
  <c r="R1010" i="5"/>
  <c r="J1011" i="5"/>
  <c r="E1011" i="5"/>
  <c r="X1011" i="5" s="1"/>
  <c r="H1011" i="5"/>
  <c r="I1011" i="5"/>
  <c r="R1011" i="5"/>
  <c r="F1011" i="5"/>
  <c r="F1013" i="5"/>
  <c r="R1013" i="5"/>
  <c r="I1013" i="5"/>
  <c r="H1013" i="5"/>
  <c r="J1013" i="5"/>
  <c r="E1013" i="5"/>
  <c r="X1013" i="5" s="1"/>
  <c r="F1014" i="5"/>
  <c r="H1014" i="5"/>
  <c r="I1014" i="5"/>
  <c r="J1014" i="5"/>
  <c r="R1014" i="5"/>
  <c r="E1014" i="5"/>
  <c r="X1014" i="5" s="1"/>
  <c r="D6" i="6"/>
  <c r="E209" i="5"/>
  <c r="X209" i="5" s="1"/>
  <c r="J209" i="5"/>
  <c r="R209" i="5"/>
  <c r="F209" i="5"/>
  <c r="H209" i="5"/>
  <c r="I209" i="5"/>
  <c r="X5" i="5"/>
  <c r="G1040" i="5"/>
  <c r="J1040" i="5"/>
  <c r="I1040" i="5"/>
  <c r="R1040" i="5"/>
  <c r="F1040" i="5"/>
  <c r="H1040" i="5"/>
  <c r="E1040" i="5"/>
  <c r="X1040" i="5" s="1"/>
  <c r="G1068" i="5"/>
  <c r="I1068" i="5"/>
  <c r="J1068" i="5"/>
  <c r="R1068" i="5"/>
  <c r="F1068" i="5"/>
  <c r="H1068" i="5"/>
  <c r="E1068" i="5"/>
  <c r="X1068" i="5" s="1"/>
  <c r="G1104" i="5"/>
  <c r="J1104" i="5"/>
  <c r="I1104" i="5"/>
  <c r="R1104" i="5"/>
  <c r="F1104" i="5"/>
  <c r="H1104" i="5"/>
  <c r="E1104" i="5"/>
  <c r="X1104" i="5" s="1"/>
  <c r="G1144" i="5"/>
  <c r="F1144" i="5"/>
  <c r="H1144" i="5"/>
  <c r="J1144" i="5"/>
  <c r="R1144" i="5"/>
  <c r="I1144" i="5"/>
  <c r="E1144" i="5"/>
  <c r="X1144" i="5" s="1"/>
  <c r="G1168" i="5"/>
  <c r="F1168" i="5"/>
  <c r="H1168" i="5"/>
  <c r="R1168" i="5"/>
  <c r="I1168" i="5"/>
  <c r="J1168" i="5"/>
  <c r="E1168" i="5"/>
  <c r="X1168" i="5" s="1"/>
  <c r="G1170" i="5"/>
  <c r="R1170" i="5"/>
  <c r="H1170" i="5"/>
  <c r="I1170" i="5"/>
  <c r="J1170" i="5"/>
  <c r="F1170" i="5"/>
  <c r="E1170" i="5"/>
  <c r="X1170" i="5" s="1"/>
  <c r="G1188" i="5"/>
  <c r="R1188" i="5"/>
  <c r="F1188" i="5"/>
  <c r="H1188" i="5"/>
  <c r="I1188" i="5"/>
  <c r="J1188" i="5"/>
  <c r="E1188" i="5"/>
  <c r="X1188" i="5" s="1"/>
  <c r="G1189" i="5"/>
  <c r="I1189" i="5"/>
  <c r="J1189" i="5"/>
  <c r="R1189" i="5"/>
  <c r="F1189" i="5"/>
  <c r="H1189" i="5"/>
  <c r="E1189" i="5"/>
  <c r="X1189" i="5" s="1"/>
  <c r="G1258" i="5"/>
  <c r="H1258" i="5"/>
  <c r="I1258" i="5"/>
  <c r="J1258" i="5"/>
  <c r="R1258" i="5"/>
  <c r="F1258" i="5"/>
  <c r="E1258" i="5"/>
  <c r="X1258" i="5" s="1"/>
  <c r="G1345" i="5"/>
  <c r="J1345" i="5"/>
  <c r="R1345" i="5"/>
  <c r="F1345" i="5"/>
  <c r="H1345" i="5"/>
  <c r="I1345" i="5"/>
  <c r="E1345" i="5"/>
  <c r="X1345" i="5" s="1"/>
  <c r="G1383" i="5"/>
  <c r="F1383" i="5"/>
  <c r="J1383" i="5"/>
  <c r="R1383" i="5"/>
  <c r="H1383" i="5"/>
  <c r="I1383" i="5"/>
  <c r="E1383" i="5"/>
  <c r="X1383" i="5" s="1"/>
  <c r="G1389" i="5"/>
  <c r="J1389" i="5"/>
  <c r="R1389" i="5"/>
  <c r="F1389" i="5"/>
  <c r="H1389" i="5"/>
  <c r="I1389" i="5"/>
  <c r="E1389" i="5"/>
  <c r="X1389" i="5" s="1"/>
  <c r="G1457" i="5"/>
  <c r="I1457" i="5"/>
  <c r="R1457" i="5"/>
  <c r="F1457" i="5"/>
  <c r="H1457" i="5"/>
  <c r="J1457" i="5"/>
  <c r="E1457" i="5"/>
  <c r="X1457" i="5" s="1"/>
  <c r="G1467" i="5"/>
  <c r="I1467" i="5"/>
  <c r="R1467" i="5"/>
  <c r="F1467" i="5"/>
  <c r="H1467" i="5"/>
  <c r="J1467" i="5"/>
  <c r="E1467" i="5"/>
  <c r="X1467" i="5" s="1"/>
  <c r="G1502" i="5"/>
  <c r="F1502" i="5"/>
  <c r="R1502" i="5"/>
  <c r="H1502" i="5"/>
  <c r="I1502" i="5"/>
  <c r="J1502" i="5"/>
  <c r="E1502" i="5"/>
  <c r="X1502" i="5" s="1"/>
  <c r="G1513" i="5"/>
  <c r="F1513" i="5"/>
  <c r="I1513" i="5"/>
  <c r="H1513" i="5"/>
  <c r="J1513" i="5"/>
  <c r="R1513" i="5"/>
  <c r="E1513" i="5"/>
  <c r="X1513" i="5" s="1"/>
  <c r="G1537" i="5"/>
  <c r="F1537" i="5"/>
  <c r="H1537" i="5"/>
  <c r="I1537" i="5"/>
  <c r="J1537" i="5"/>
  <c r="R1537" i="5"/>
  <c r="E1537" i="5"/>
  <c r="X1537" i="5" s="1"/>
  <c r="G1545" i="5"/>
  <c r="F1545" i="5"/>
  <c r="H1545" i="5"/>
  <c r="I1545" i="5"/>
  <c r="J1545" i="5"/>
  <c r="R1545" i="5"/>
  <c r="E1545" i="5"/>
  <c r="X1545" i="5" s="1"/>
  <c r="G1551" i="5"/>
  <c r="F1551" i="5"/>
  <c r="H1551" i="5"/>
  <c r="I1551" i="5"/>
  <c r="J1551" i="5"/>
  <c r="R1551" i="5"/>
  <c r="E1551" i="5"/>
  <c r="X1551" i="5" s="1"/>
  <c r="R1600" i="5"/>
  <c r="G1600" i="5"/>
  <c r="J1600" i="5"/>
  <c r="F1600" i="5"/>
  <c r="H1600" i="5"/>
  <c r="I1600" i="5"/>
  <c r="E1600" i="5"/>
  <c r="X1600" i="5" s="1"/>
  <c r="I1665" i="5"/>
  <c r="H1665" i="5"/>
  <c r="G1665" i="5"/>
  <c r="F1665" i="5"/>
  <c r="J1665" i="5"/>
  <c r="R1665" i="5"/>
  <c r="E1665" i="5"/>
  <c r="X1665" i="5" s="1"/>
  <c r="G1685" i="5"/>
  <c r="R1685" i="5"/>
  <c r="J1685" i="5"/>
  <c r="H1685" i="5"/>
  <c r="F1685" i="5"/>
  <c r="I1685" i="5"/>
  <c r="E1685" i="5"/>
  <c r="X1685" i="5" s="1"/>
  <c r="G1709" i="5"/>
  <c r="F1709" i="5"/>
  <c r="R1709" i="5"/>
  <c r="J1709" i="5"/>
  <c r="I1709" i="5"/>
  <c r="H1709" i="5"/>
  <c r="E1709" i="5"/>
  <c r="X1709" i="5" s="1"/>
  <c r="G1717" i="5"/>
  <c r="F1717" i="5"/>
  <c r="R1717" i="5"/>
  <c r="J1717" i="5"/>
  <c r="I1717" i="5"/>
  <c r="H1717" i="5"/>
  <c r="E1717" i="5"/>
  <c r="X1717" i="5" s="1"/>
  <c r="G2053" i="5"/>
  <c r="R2053" i="5"/>
  <c r="J2053" i="5"/>
  <c r="I2053" i="5"/>
  <c r="H2053" i="5"/>
  <c r="F2053" i="5"/>
  <c r="E2053" i="5"/>
  <c r="X2053" i="5" s="1"/>
  <c r="G2072" i="5"/>
  <c r="H2072" i="5"/>
  <c r="I2072" i="5"/>
  <c r="J2072" i="5"/>
  <c r="R2072" i="5"/>
  <c r="F2072" i="5"/>
  <c r="E2072" i="5"/>
  <c r="X2072" i="5" s="1"/>
  <c r="G2075" i="5"/>
  <c r="F2075" i="5"/>
  <c r="J2075" i="5"/>
  <c r="R2075" i="5"/>
  <c r="H2075" i="5"/>
  <c r="I2075" i="5"/>
  <c r="E2075" i="5"/>
  <c r="X2075" i="5" s="1"/>
  <c r="I2131" i="5"/>
  <c r="F2131" i="5"/>
  <c r="J2131" i="5"/>
  <c r="H2131" i="5"/>
  <c r="G2131" i="5"/>
  <c r="R2131" i="5"/>
  <c r="E2131" i="5"/>
  <c r="X2131" i="5" s="1"/>
  <c r="H2252" i="5"/>
  <c r="G2252" i="5"/>
  <c r="I2252" i="5"/>
  <c r="J2252" i="5"/>
  <c r="R2252" i="5"/>
  <c r="F2252" i="5"/>
  <c r="E2252" i="5"/>
  <c r="X2252" i="5" s="1"/>
  <c r="H2256" i="5"/>
  <c r="G2256" i="5"/>
  <c r="I2256" i="5"/>
  <c r="J2256" i="5"/>
  <c r="R2256" i="5"/>
  <c r="F2256" i="5"/>
  <c r="E2256" i="5"/>
  <c r="X2256" i="5" s="1"/>
  <c r="R2273" i="5"/>
  <c r="G2273" i="5"/>
  <c r="F2273" i="5"/>
  <c r="J2273" i="5"/>
  <c r="H2273" i="5"/>
  <c r="I2273" i="5"/>
  <c r="E2273" i="5"/>
  <c r="X2273" i="5" s="1"/>
  <c r="G2280" i="5"/>
  <c r="H2280" i="5"/>
  <c r="J2280" i="5"/>
  <c r="R2280" i="5"/>
  <c r="F2280" i="5"/>
  <c r="I2280" i="5"/>
  <c r="E2280" i="5"/>
  <c r="X2280" i="5" s="1"/>
  <c r="G2282" i="5"/>
  <c r="F2282" i="5"/>
  <c r="R2282" i="5"/>
  <c r="H2282" i="5"/>
  <c r="J2282" i="5"/>
  <c r="I2282" i="5"/>
  <c r="E2282" i="5"/>
  <c r="X2282" i="5" s="1"/>
  <c r="F2283" i="5"/>
  <c r="G2283" i="5"/>
  <c r="I2283" i="5"/>
  <c r="R2283" i="5"/>
  <c r="J2283" i="5"/>
  <c r="H2283" i="5"/>
  <c r="E2283" i="5"/>
  <c r="X2283" i="5" s="1"/>
  <c r="R2289" i="5"/>
  <c r="G2289" i="5"/>
  <c r="H2289" i="5"/>
  <c r="F2289" i="5"/>
  <c r="I2289" i="5"/>
  <c r="J2289" i="5"/>
  <c r="E2289" i="5"/>
  <c r="X2289" i="5" s="1"/>
  <c r="I2290" i="5"/>
  <c r="R2290" i="5"/>
  <c r="G2290" i="5"/>
  <c r="H2290" i="5"/>
  <c r="F2290" i="5"/>
  <c r="J2290" i="5"/>
  <c r="E2290" i="5"/>
  <c r="X2290" i="5" s="1"/>
  <c r="H2292" i="5"/>
  <c r="J2292" i="5"/>
  <c r="F2292" i="5"/>
  <c r="I2292" i="5"/>
  <c r="G2292" i="5"/>
  <c r="R2292" i="5"/>
  <c r="E2292" i="5"/>
  <c r="X2292" i="5" s="1"/>
  <c r="G2297" i="5"/>
  <c r="F2297" i="5"/>
  <c r="H2297" i="5"/>
  <c r="J2297" i="5"/>
  <c r="I2297" i="5"/>
  <c r="R2297" i="5"/>
  <c r="E2297" i="5"/>
  <c r="X2297" i="5" s="1"/>
  <c r="F2298" i="5"/>
  <c r="R2298" i="5"/>
  <c r="G2298" i="5"/>
  <c r="I2298" i="5"/>
  <c r="H2298" i="5"/>
  <c r="J2298" i="5"/>
  <c r="E2298" i="5"/>
  <c r="X2298" i="5" s="1"/>
  <c r="G2310" i="5"/>
  <c r="J2310" i="5"/>
  <c r="F2310" i="5"/>
  <c r="I2310" i="5"/>
  <c r="R2310" i="5"/>
  <c r="H2310" i="5"/>
  <c r="E2310" i="5"/>
  <c r="X2310" i="5" s="1"/>
  <c r="I2317" i="5"/>
  <c r="R2317" i="5"/>
  <c r="G2317" i="5"/>
  <c r="H2317" i="5"/>
  <c r="J2317" i="5"/>
  <c r="F2317" i="5"/>
  <c r="E2317" i="5"/>
  <c r="X2317" i="5" s="1"/>
  <c r="R2319" i="5"/>
  <c r="I2319" i="5"/>
  <c r="H2319" i="5"/>
  <c r="F2319" i="5"/>
  <c r="G2319" i="5"/>
  <c r="J2319" i="5"/>
  <c r="E2319" i="5"/>
  <c r="X2319" i="5" s="1"/>
  <c r="F2321" i="5"/>
  <c r="G2321" i="5"/>
  <c r="H2321" i="5"/>
  <c r="I2321" i="5"/>
  <c r="J2321" i="5"/>
  <c r="R2321" i="5"/>
  <c r="E2321" i="5"/>
  <c r="X2321" i="5" s="1"/>
  <c r="F2325" i="5"/>
  <c r="H2325" i="5"/>
  <c r="G2325" i="5"/>
  <c r="I2325" i="5"/>
  <c r="J2325" i="5"/>
  <c r="R2325" i="5"/>
  <c r="E2325" i="5"/>
  <c r="X2325" i="5" s="1"/>
  <c r="F2329" i="5"/>
  <c r="G2329" i="5"/>
  <c r="H2329" i="5"/>
  <c r="I2329" i="5"/>
  <c r="J2329" i="5"/>
  <c r="R2329" i="5"/>
  <c r="E2329" i="5"/>
  <c r="X2329" i="5" s="1"/>
  <c r="G2333" i="5"/>
  <c r="H2333" i="5"/>
  <c r="F2333" i="5"/>
  <c r="I2333" i="5"/>
  <c r="J2333" i="5"/>
  <c r="R2333" i="5"/>
  <c r="E2333" i="5"/>
  <c r="X2333" i="5" s="1"/>
  <c r="G2337" i="5"/>
  <c r="H2337" i="5"/>
  <c r="I2337" i="5"/>
  <c r="J2337" i="5"/>
  <c r="R2337" i="5"/>
  <c r="F2337" i="5"/>
  <c r="E2337" i="5"/>
  <c r="X2337" i="5" s="1"/>
  <c r="G2341" i="5"/>
  <c r="H2341" i="5"/>
  <c r="F2341" i="5"/>
  <c r="I2341" i="5"/>
  <c r="J2341" i="5"/>
  <c r="R2341" i="5"/>
  <c r="E2341" i="5"/>
  <c r="X2341" i="5" s="1"/>
  <c r="G2349" i="5"/>
  <c r="F2349" i="5"/>
  <c r="H2349" i="5"/>
  <c r="I2349" i="5"/>
  <c r="J2349" i="5"/>
  <c r="R2349" i="5"/>
  <c r="E2349" i="5"/>
  <c r="X2349" i="5" s="1"/>
  <c r="R2355" i="5"/>
  <c r="J2355" i="5"/>
  <c r="H2355" i="5"/>
  <c r="G2355" i="5"/>
  <c r="I2355" i="5"/>
  <c r="F2355" i="5"/>
  <c r="E2355" i="5"/>
  <c r="X2355" i="5" s="1"/>
  <c r="R2363" i="5"/>
  <c r="F2363" i="5"/>
  <c r="H2363" i="5"/>
  <c r="J2363" i="5"/>
  <c r="G2363" i="5"/>
  <c r="I2363" i="5"/>
  <c r="E2363" i="5"/>
  <c r="X2363" i="5" s="1"/>
  <c r="G2371" i="5"/>
  <c r="F2371" i="5"/>
  <c r="H2371" i="5"/>
  <c r="I2371" i="5"/>
  <c r="R2371" i="5"/>
  <c r="J2371" i="5"/>
  <c r="E2371" i="5"/>
  <c r="X2371" i="5" s="1"/>
  <c r="G2379" i="5"/>
  <c r="F2379" i="5"/>
  <c r="H2379" i="5"/>
  <c r="I2379" i="5"/>
  <c r="R2379" i="5"/>
  <c r="J2379" i="5"/>
  <c r="E2379" i="5"/>
  <c r="X2379" i="5" s="1"/>
  <c r="J2381" i="5"/>
  <c r="G2381" i="5"/>
  <c r="R2381" i="5"/>
  <c r="I2381" i="5"/>
  <c r="F2381" i="5"/>
  <c r="H2381" i="5"/>
  <c r="E2381" i="5"/>
  <c r="X2381" i="5" s="1"/>
  <c r="G2388" i="5"/>
  <c r="F2388" i="5"/>
  <c r="R2388" i="5"/>
  <c r="H2388" i="5"/>
  <c r="I2388" i="5"/>
  <c r="J2388" i="5"/>
  <c r="E2388" i="5"/>
  <c r="X2388" i="5" s="1"/>
  <c r="G2389" i="5"/>
  <c r="F2389" i="5"/>
  <c r="H2389" i="5"/>
  <c r="I2389" i="5"/>
  <c r="R2389" i="5"/>
  <c r="J2389" i="5"/>
  <c r="E2389" i="5"/>
  <c r="X2389" i="5" s="1"/>
  <c r="H2393" i="5"/>
  <c r="F2393" i="5"/>
  <c r="J2393" i="5"/>
  <c r="I2393" i="5"/>
  <c r="G2393" i="5"/>
  <c r="R2393" i="5"/>
  <c r="E2393" i="5"/>
  <c r="X2393" i="5" s="1"/>
  <c r="R2395" i="5"/>
  <c r="G2395" i="5"/>
  <c r="F2395" i="5"/>
  <c r="J2395" i="5"/>
  <c r="H2395" i="5"/>
  <c r="I2395" i="5"/>
  <c r="E2395" i="5"/>
  <c r="X2395" i="5" s="1"/>
  <c r="G2401" i="5"/>
  <c r="F2401" i="5"/>
  <c r="H2401" i="5"/>
  <c r="I2401" i="5"/>
  <c r="J2401" i="5"/>
  <c r="R2401" i="5"/>
  <c r="E2401" i="5"/>
  <c r="X2401" i="5" s="1"/>
  <c r="F2402" i="5"/>
  <c r="R2402" i="5"/>
  <c r="J2402" i="5"/>
  <c r="G2402" i="5"/>
  <c r="H2402" i="5"/>
  <c r="I2402" i="5"/>
  <c r="E2402" i="5"/>
  <c r="X2402" i="5" s="1"/>
  <c r="J2405" i="5"/>
  <c r="R2405" i="5"/>
  <c r="G2405" i="5"/>
  <c r="H2405" i="5"/>
  <c r="F2405" i="5"/>
  <c r="I2405" i="5"/>
  <c r="E2405" i="5"/>
  <c r="X2405" i="5" s="1"/>
  <c r="H2406" i="5"/>
  <c r="J2406" i="5"/>
  <c r="F2406" i="5"/>
  <c r="G2406" i="5"/>
  <c r="R2406" i="5"/>
  <c r="I2406" i="5"/>
  <c r="E2406" i="5"/>
  <c r="X2406" i="5" s="1"/>
  <c r="J2409" i="5"/>
  <c r="G2409" i="5"/>
  <c r="R2409" i="5"/>
  <c r="I2409" i="5"/>
  <c r="H2409" i="5"/>
  <c r="F2409" i="5"/>
  <c r="E2409" i="5"/>
  <c r="X2409" i="5" s="1"/>
  <c r="G2413" i="5"/>
  <c r="F2413" i="5"/>
  <c r="I2413" i="5"/>
  <c r="J2413" i="5"/>
  <c r="R2413" i="5"/>
  <c r="H2413" i="5"/>
  <c r="E2413" i="5"/>
  <c r="X2413" i="5" s="1"/>
  <c r="F2417" i="5"/>
  <c r="G2417" i="5"/>
  <c r="R2417" i="5"/>
  <c r="I2417" i="5"/>
  <c r="J2417" i="5"/>
  <c r="H2417" i="5"/>
  <c r="E2417" i="5"/>
  <c r="X2417" i="5" s="1"/>
  <c r="G2418" i="5"/>
  <c r="R2418" i="5"/>
  <c r="J2418" i="5"/>
  <c r="H2418" i="5"/>
  <c r="F2418" i="5"/>
  <c r="I2418" i="5"/>
  <c r="E2418" i="5"/>
  <c r="X2418" i="5" s="1"/>
  <c r="G2421" i="5"/>
  <c r="F2421" i="5"/>
  <c r="H2421" i="5"/>
  <c r="I2421" i="5"/>
  <c r="J2421" i="5"/>
  <c r="R2421" i="5"/>
  <c r="E2421" i="5"/>
  <c r="X2421" i="5" s="1"/>
  <c r="J2422" i="5"/>
  <c r="H2422" i="5"/>
  <c r="R2422" i="5"/>
  <c r="I2422" i="5"/>
  <c r="F2422" i="5"/>
  <c r="G2422" i="5"/>
  <c r="E2422" i="5"/>
  <c r="X2422" i="5" s="1"/>
  <c r="F2429" i="5"/>
  <c r="H2429" i="5"/>
  <c r="G2429" i="5"/>
  <c r="I2429" i="5"/>
  <c r="J2429" i="5"/>
  <c r="R2429" i="5"/>
  <c r="E2429" i="5"/>
  <c r="X2429" i="5" s="1"/>
  <c r="I2434" i="5"/>
  <c r="F2434" i="5"/>
  <c r="H2434" i="5"/>
  <c r="G2434" i="5"/>
  <c r="R2434" i="5"/>
  <c r="J2434" i="5"/>
  <c r="E2434" i="5"/>
  <c r="X2434" i="5" s="1"/>
  <c r="G2435" i="5"/>
  <c r="J2435" i="5"/>
  <c r="R2435" i="5"/>
  <c r="F2435" i="5"/>
  <c r="I2435" i="5"/>
  <c r="H2435" i="5"/>
  <c r="E2435" i="5"/>
  <c r="X2435" i="5" s="1"/>
  <c r="G2439" i="5"/>
  <c r="J2439" i="5"/>
  <c r="H2439" i="5"/>
  <c r="I2439" i="5"/>
  <c r="R2439" i="5"/>
  <c r="F2439" i="5"/>
  <c r="E2439" i="5"/>
  <c r="X2439" i="5" s="1"/>
  <c r="I2440" i="5"/>
  <c r="J2440" i="5"/>
  <c r="H2440" i="5"/>
  <c r="F2440" i="5"/>
  <c r="G2440" i="5"/>
  <c r="R2440" i="5"/>
  <c r="E2440" i="5"/>
  <c r="X2440" i="5" s="1"/>
  <c r="J2450" i="5"/>
  <c r="G2450" i="5"/>
  <c r="F2450" i="5"/>
  <c r="R2450" i="5"/>
  <c r="I2450" i="5"/>
  <c r="H2450" i="5"/>
  <c r="E2450" i="5"/>
  <c r="X2450" i="5" s="1"/>
  <c r="G2456" i="5"/>
  <c r="F2456" i="5"/>
  <c r="H2456" i="5"/>
  <c r="R2456" i="5"/>
  <c r="I2456" i="5"/>
  <c r="J2456" i="5"/>
  <c r="E2456" i="5"/>
  <c r="X2456" i="5" s="1"/>
  <c r="F2463" i="5"/>
  <c r="R2463" i="5"/>
  <c r="H2463" i="5"/>
  <c r="G2463" i="5"/>
  <c r="J2463" i="5"/>
  <c r="I2463" i="5"/>
  <c r="E2463" i="5"/>
  <c r="X2463" i="5" s="1"/>
  <c r="J2465" i="5"/>
  <c r="G2465" i="5"/>
  <c r="F2465" i="5"/>
  <c r="H2465" i="5"/>
  <c r="I2465" i="5"/>
  <c r="R2465" i="5"/>
  <c r="E2465" i="5"/>
  <c r="X2465" i="5" s="1"/>
  <c r="H2470" i="5"/>
  <c r="J2470" i="5"/>
  <c r="I2470" i="5"/>
  <c r="G2470" i="5"/>
  <c r="F2470" i="5"/>
  <c r="R2470" i="5"/>
  <c r="E2470" i="5"/>
  <c r="X2470" i="5" s="1"/>
  <c r="G2476" i="5"/>
  <c r="F2476" i="5"/>
  <c r="H2476" i="5"/>
  <c r="R2476" i="5"/>
  <c r="I2476" i="5"/>
  <c r="J2476" i="5"/>
  <c r="E2476" i="5"/>
  <c r="X2476" i="5" s="1"/>
  <c r="H2480" i="5"/>
  <c r="I2480" i="5"/>
  <c r="F2480" i="5"/>
  <c r="G2480" i="5"/>
  <c r="J2480" i="5"/>
  <c r="R2480" i="5"/>
  <c r="E2480" i="5"/>
  <c r="X2480" i="5" s="1"/>
  <c r="G66" i="6"/>
  <c r="S46" i="5"/>
  <c r="S75" i="5"/>
  <c r="S138" i="5"/>
  <c r="S31" i="5"/>
  <c r="S21" i="5"/>
  <c r="S69" i="5"/>
  <c r="S121" i="5"/>
  <c r="S20" i="5"/>
  <c r="S61" i="5"/>
  <c r="S154" i="5"/>
  <c r="S123" i="5"/>
  <c r="S81" i="5"/>
  <c r="T29" i="5"/>
  <c r="S57" i="5"/>
  <c r="S8" i="5"/>
  <c r="S58" i="5"/>
  <c r="S137" i="5"/>
  <c r="T99" i="5"/>
  <c r="S103" i="5"/>
  <c r="S143" i="5"/>
  <c r="S125" i="5"/>
  <c r="S17" i="5"/>
  <c r="S55" i="5"/>
  <c r="S54" i="5"/>
  <c r="S98" i="5"/>
  <c r="S96" i="5"/>
  <c r="S27" i="5"/>
  <c r="S28" i="5"/>
  <c r="S157" i="5"/>
  <c r="S112" i="5"/>
  <c r="G64" i="6" a="1"/>
  <c r="S114" i="5"/>
  <c r="S93" i="5"/>
  <c r="S11" i="5"/>
  <c r="S52" i="5"/>
  <c r="S43" i="5"/>
  <c r="S74" i="5"/>
  <c r="S94" i="5"/>
  <c r="S120" i="5"/>
  <c r="S22" i="5"/>
  <c r="S23" i="5"/>
  <c r="S25" i="5"/>
  <c r="S124" i="5"/>
  <c r="S51" i="5"/>
  <c r="S109" i="5"/>
  <c r="S111" i="5"/>
  <c r="S148" i="5"/>
  <c r="S10" i="5"/>
  <c r="S50" i="5"/>
  <c r="S72" i="5"/>
  <c r="S83" i="5"/>
  <c r="S92" i="5"/>
  <c r="S113" i="5"/>
  <c r="S141" i="5"/>
  <c r="S36" i="5"/>
  <c r="S40" i="5"/>
  <c r="S38" i="5"/>
  <c r="S24" i="5"/>
  <c r="S95" i="5"/>
  <c r="S48" i="5"/>
  <c r="S107" i="5"/>
  <c r="S118" i="5"/>
  <c r="S150" i="5"/>
  <c r="S79" i="5"/>
  <c r="T49" i="5"/>
  <c r="S32" i="5"/>
  <c r="S63" i="5"/>
  <c r="S97" i="5"/>
  <c r="S30" i="5"/>
  <c r="S16" i="5"/>
  <c r="S128" i="5"/>
  <c r="S91" i="5"/>
  <c r="S9" i="5"/>
  <c r="S108" i="5"/>
  <c r="S65" i="5"/>
  <c r="S153" i="5"/>
  <c r="S60" i="5"/>
  <c r="S82" i="5"/>
  <c r="S14" i="5"/>
  <c r="S136" i="5"/>
  <c r="S71" i="5"/>
  <c r="S139" i="5"/>
  <c r="S86" i="5"/>
  <c r="S39" i="5"/>
  <c r="S134" i="5"/>
  <c r="S37" i="5"/>
  <c r="S78" i="5"/>
  <c r="S13" i="5"/>
  <c r="S116" i="5"/>
  <c r="S119" i="5"/>
  <c r="S117" i="5"/>
  <c r="S70" i="5"/>
  <c r="S41" i="5"/>
  <c r="S140" i="5"/>
  <c r="S18" i="5"/>
  <c r="S130" i="5"/>
  <c r="S89" i="5"/>
  <c r="S7" i="5"/>
  <c r="S100" i="5"/>
  <c r="S144" i="5"/>
  <c r="S62" i="5"/>
  <c r="S26" i="5"/>
  <c r="S152" i="5"/>
  <c r="S59" i="5"/>
  <c r="S110" i="5"/>
  <c r="S80" i="5"/>
  <c r="S42" i="5"/>
  <c r="S126" i="5"/>
  <c r="S142" i="5"/>
  <c r="S15" i="5"/>
  <c r="S68" i="5"/>
  <c r="S56" i="5"/>
  <c r="S105" i="5"/>
  <c r="S85" i="5"/>
  <c r="S76" i="5"/>
  <c r="S67" i="5"/>
  <c r="S5" i="5"/>
  <c r="S88" i="5"/>
  <c r="S146" i="5"/>
  <c r="S151" i="5"/>
  <c r="S45" i="5"/>
  <c r="S34" i="5"/>
  <c r="S156" i="5"/>
  <c r="S64" i="5"/>
  <c r="S77" i="5"/>
  <c r="S127" i="5"/>
  <c r="S12" i="5"/>
  <c r="S147" i="5"/>
  <c r="S44" i="5"/>
  <c r="S47" i="5"/>
  <c r="S131" i="5"/>
  <c r="S33" i="5"/>
  <c r="S84" i="5"/>
  <c r="S104" i="5"/>
  <c r="S66" i="5"/>
  <c r="S145" i="5"/>
  <c r="S19" i="5"/>
  <c r="S53" i="5"/>
  <c r="S6" i="5"/>
  <c r="S122" i="5"/>
  <c r="S133" i="5"/>
  <c r="S35" i="5"/>
  <c r="S101" i="5"/>
  <c r="S73" i="5"/>
  <c r="S115" i="5"/>
  <c r="S155" i="5"/>
  <c r="S129" i="5"/>
  <c r="S132" i="5"/>
  <c r="S102" i="5"/>
  <c r="S149" i="5"/>
  <c r="S106" i="5"/>
  <c r="S87" i="5"/>
  <c r="S135" i="5"/>
  <c r="T90" i="5"/>
  <c r="D37" i="4" l="1"/>
  <c r="D61" i="4"/>
  <c r="G65" i="6"/>
  <c r="B33" i="4"/>
  <c r="A20" i="6" s="1"/>
  <c r="A24" i="6"/>
  <c r="F25" i="6"/>
  <c r="F30" i="6" s="1"/>
  <c r="H30" i="6" s="1"/>
  <c r="D30" i="6" s="1"/>
  <c r="B24" i="6"/>
  <c r="G24" i="6" s="1"/>
  <c r="B29" i="6"/>
  <c r="G29" i="6" s="1"/>
  <c r="B34" i="6"/>
  <c r="G34" i="6" s="1"/>
  <c r="B49" i="6"/>
  <c r="G49" i="6" s="1"/>
  <c r="B44" i="6"/>
  <c r="G44" i="6" s="1"/>
  <c r="F24" i="6"/>
  <c r="F50" i="6"/>
  <c r="H50" i="6" s="1"/>
  <c r="D50" i="6" s="1"/>
  <c r="F35" i="6"/>
  <c r="F40" i="6"/>
  <c r="F66" i="6"/>
  <c r="H66" i="6" s="1"/>
  <c r="B46" i="6"/>
  <c r="G46" i="6" s="1"/>
  <c r="B26" i="6"/>
  <c r="G26" i="6" s="1"/>
  <c r="F26" i="6"/>
  <c r="G21" i="6"/>
  <c r="B41" i="6"/>
  <c r="G41" i="6" s="1"/>
  <c r="B36" i="6"/>
  <c r="G36" i="6" s="1"/>
  <c r="B31" i="6"/>
  <c r="G31" i="6" s="1"/>
  <c r="A17" i="6"/>
  <c r="B35" i="4"/>
  <c r="A22" i="6" s="1"/>
  <c r="G22" i="6"/>
  <c r="H22" i="6" s="1"/>
  <c r="B42" i="6"/>
  <c r="G42" i="6" s="1"/>
  <c r="B47" i="6"/>
  <c r="G47" i="6" s="1"/>
  <c r="F27" i="6"/>
  <c r="B27" i="6"/>
  <c r="G27" i="6" s="1"/>
  <c r="B32" i="6"/>
  <c r="G32" i="6" s="1"/>
  <c r="B52" i="6"/>
  <c r="G52" i="6" s="1"/>
  <c r="B37" i="6"/>
  <c r="G37" i="6" s="1"/>
  <c r="D15" i="6"/>
  <c r="B35" i="6"/>
  <c r="G35" i="6" s="1"/>
  <c r="B25" i="6"/>
  <c r="G25" i="6" s="1"/>
  <c r="H25" i="6" s="1"/>
  <c r="B30" i="6"/>
  <c r="G30" i="6" s="1"/>
  <c r="C17" i="6"/>
  <c r="G16" i="6"/>
  <c r="H16" i="6" s="1"/>
  <c r="B40" i="6"/>
  <c r="G40" i="6" s="1"/>
  <c r="F21" i="6"/>
  <c r="H21" i="6" s="1"/>
  <c r="D21" i="6" s="1"/>
  <c r="B45" i="6"/>
  <c r="G45" i="6" s="1"/>
  <c r="C15" i="6"/>
  <c r="B51" i="6"/>
  <c r="G51" i="6" s="1"/>
  <c r="F20" i="6"/>
  <c r="H20" i="6" s="1"/>
  <c r="D20" i="6" s="1"/>
  <c r="K65" i="6"/>
  <c r="D14" i="6"/>
  <c r="B83" i="4"/>
  <c r="A59" i="6" s="1"/>
  <c r="B85" i="4"/>
  <c r="A60" i="6" s="1"/>
  <c r="B81" i="4"/>
  <c r="A58" i="6" s="1"/>
  <c r="B61" i="4"/>
  <c r="A43" i="6" s="1"/>
  <c r="B67" i="4"/>
  <c r="A48" i="6" s="1"/>
  <c r="B77" i="4"/>
  <c r="A55" i="6" s="1"/>
  <c r="B43" i="4"/>
  <c r="A28" i="6" s="1"/>
  <c r="B79" i="4"/>
  <c r="A57" i="6" s="1"/>
  <c r="B31" i="4"/>
  <c r="A18" i="6" s="1"/>
  <c r="B87" i="4"/>
  <c r="A62" i="6" s="1"/>
  <c r="B75" i="4"/>
  <c r="A54" i="6" s="1"/>
  <c r="B89" i="4"/>
  <c r="A63" i="6" s="1"/>
  <c r="B37" i="4"/>
  <c r="A23" i="6" s="1"/>
  <c r="B49" i="4"/>
  <c r="A33" i="6" s="1"/>
  <c r="B55" i="4"/>
  <c r="A38" i="6" s="1"/>
  <c r="C19" i="6"/>
  <c r="G69" i="6" a="1"/>
  <c r="G69" i="6" s="1"/>
  <c r="H69" i="6" s="1"/>
  <c r="C14" i="6"/>
  <c r="D55" i="4"/>
  <c r="B70" i="4"/>
  <c r="A51" i="6" s="1"/>
  <c r="B52" i="4"/>
  <c r="A36" i="6" s="1"/>
  <c r="C12" i="6"/>
  <c r="C11" i="6"/>
  <c r="B59" i="4"/>
  <c r="A42" i="6" s="1"/>
  <c r="C10" i="6"/>
  <c r="B71" i="4"/>
  <c r="A52" i="6" s="1"/>
  <c r="B53" i="4"/>
  <c r="A37" i="6" s="1"/>
  <c r="A27" i="6"/>
  <c r="D49" i="4"/>
  <c r="A26" i="6"/>
  <c r="D67" i="4"/>
  <c r="D31" i="4"/>
  <c r="C9" i="6"/>
  <c r="B68" i="4"/>
  <c r="A49" i="6" s="1"/>
  <c r="B62" i="4"/>
  <c r="A44" i="6" s="1"/>
  <c r="D43" i="4"/>
  <c r="B50" i="4"/>
  <c r="A34" i="6" s="1"/>
  <c r="B64" i="4"/>
  <c r="A46" i="6" s="1"/>
  <c r="C8" i="6"/>
  <c r="C7" i="6"/>
  <c r="C4" i="6"/>
  <c r="B51" i="4"/>
  <c r="A35" i="6" s="1"/>
  <c r="G55" i="4"/>
  <c r="G43" i="4"/>
  <c r="G67" i="4"/>
  <c r="B69" i="4"/>
  <c r="A50" i="6" s="1"/>
  <c r="B63" i="4"/>
  <c r="A45" i="6" s="1"/>
  <c r="A25" i="6"/>
  <c r="C6" i="6"/>
  <c r="A16" i="6"/>
  <c r="G74" i="4"/>
  <c r="B32" i="4"/>
  <c r="A19" i="6" s="1"/>
  <c r="G37" i="4"/>
  <c r="G49" i="4"/>
  <c r="G61" i="4"/>
  <c r="G64" i="6"/>
  <c r="T9" i="5"/>
  <c r="T52" i="5"/>
  <c r="T120" i="5"/>
  <c r="T136" i="5"/>
  <c r="T24" i="5"/>
  <c r="T130" i="5"/>
  <c r="T126" i="5"/>
  <c r="T66" i="5"/>
  <c r="T123" i="5"/>
  <c r="T50" i="5"/>
  <c r="T93" i="5"/>
  <c r="T74" i="5"/>
  <c r="T23" i="5"/>
  <c r="T28" i="5"/>
  <c r="T48" i="5"/>
  <c r="T77" i="5"/>
  <c r="T84" i="5"/>
  <c r="T122" i="5"/>
  <c r="T102" i="5"/>
  <c r="T35" i="5"/>
  <c r="T30" i="5"/>
  <c r="T10" i="5"/>
  <c r="T147" i="5"/>
  <c r="T148" i="5"/>
  <c r="T114" i="5"/>
  <c r="T43" i="5"/>
  <c r="T27" i="5"/>
  <c r="T135" i="5"/>
  <c r="T97" i="5"/>
  <c r="T33" i="5"/>
  <c r="T67" i="5"/>
  <c r="T6" i="5"/>
  <c r="T133" i="5"/>
  <c r="T110" i="5"/>
  <c r="T156" i="5"/>
  <c r="T100" i="5"/>
  <c r="T117" i="5"/>
  <c r="T14" i="5"/>
  <c r="T73" i="5"/>
  <c r="T17" i="5"/>
  <c r="T143" i="5"/>
  <c r="T76" i="5"/>
  <c r="T56" i="5"/>
  <c r="T124" i="5"/>
  <c r="T61" i="5"/>
  <c r="T88" i="5"/>
  <c r="T53" i="5"/>
  <c r="T34" i="5"/>
  <c r="T11" i="5"/>
  <c r="T107" i="5"/>
  <c r="T142" i="5"/>
  <c r="T8" i="5"/>
  <c r="T15" i="5"/>
  <c r="T80" i="5"/>
  <c r="T125" i="5"/>
  <c r="T116" i="5"/>
  <c r="T58" i="5"/>
  <c r="T13" i="5"/>
  <c r="T111" i="5"/>
  <c r="T12" i="5"/>
  <c r="T119" i="5"/>
  <c r="T19" i="5"/>
  <c r="T59" i="5"/>
  <c r="T138" i="5"/>
  <c r="T7" i="5"/>
  <c r="T89" i="5"/>
  <c r="T101" i="5"/>
  <c r="T134" i="5"/>
  <c r="T103" i="5"/>
  <c r="T26" i="5"/>
  <c r="T32" i="5"/>
  <c r="T51" i="5"/>
  <c r="T47" i="5"/>
  <c r="T129" i="5"/>
  <c r="T152" i="5"/>
  <c r="T151" i="5"/>
  <c r="T45" i="5"/>
  <c r="T118" i="5"/>
  <c r="T94" i="5"/>
  <c r="T81" i="5"/>
  <c r="T16" i="5"/>
  <c r="T144" i="5"/>
  <c r="T60" i="5"/>
  <c r="T131" i="5"/>
  <c r="T37" i="5"/>
  <c r="T109" i="5"/>
  <c r="T78" i="5"/>
  <c r="T106" i="5"/>
  <c r="T112" i="5"/>
  <c r="T140" i="5"/>
  <c r="T146" i="5"/>
  <c r="T41" i="5"/>
  <c r="T150" i="5"/>
  <c r="T149" i="5"/>
  <c r="T121" i="5"/>
  <c r="T98" i="5"/>
  <c r="T115" i="5"/>
  <c r="T79" i="5"/>
  <c r="T141" i="5"/>
  <c r="T64" i="5"/>
  <c r="T40" i="5"/>
  <c r="T57" i="5"/>
  <c r="T31" i="5"/>
  <c r="T20" i="5"/>
  <c r="T105" i="5"/>
  <c r="T95" i="5"/>
  <c r="T5" i="5"/>
  <c r="T70" i="5"/>
  <c r="T39" i="5"/>
  <c r="T154" i="5"/>
  <c r="T87" i="5"/>
  <c r="T128" i="5"/>
  <c r="T72" i="5"/>
  <c r="T153" i="5"/>
  <c r="T113" i="5"/>
  <c r="T62" i="5"/>
  <c r="T22" i="5"/>
  <c r="T65" i="5"/>
  <c r="T92" i="5"/>
  <c r="T82" i="5"/>
  <c r="T96" i="5"/>
  <c r="T44" i="5"/>
  <c r="T75" i="5"/>
  <c r="T69" i="5"/>
  <c r="T127" i="5"/>
  <c r="T18" i="5"/>
  <c r="T54" i="5"/>
  <c r="T139" i="5"/>
  <c r="T86" i="5"/>
  <c r="T145" i="5"/>
  <c r="T63" i="5"/>
  <c r="T85" i="5"/>
  <c r="T71" i="5"/>
  <c r="T108" i="5"/>
  <c r="T83" i="5"/>
  <c r="T36" i="5"/>
  <c r="T55" i="5"/>
  <c r="T68" i="5"/>
  <c r="T46" i="5"/>
  <c r="T21" i="5"/>
  <c r="T91" i="5"/>
  <c r="T38" i="5"/>
  <c r="T104" i="5"/>
  <c r="C50" i="6" l="1"/>
  <c r="F45" i="6"/>
  <c r="H35" i="6"/>
  <c r="D35" i="6" s="1"/>
  <c r="F44" i="6"/>
  <c r="H44" i="6" s="1"/>
  <c r="F29" i="6"/>
  <c r="H29" i="6" s="1"/>
  <c r="F34" i="6"/>
  <c r="H34" i="6" s="1"/>
  <c r="F39" i="6"/>
  <c r="H39" i="6" s="1"/>
  <c r="F65" i="6"/>
  <c r="F49" i="6"/>
  <c r="H49" i="6" s="1"/>
  <c r="H24" i="6"/>
  <c r="D25" i="6"/>
  <c r="C25" i="6"/>
  <c r="K67" i="6"/>
  <c r="D16" i="6"/>
  <c r="C30" i="6"/>
  <c r="F36" i="6"/>
  <c r="H36" i="6" s="1"/>
  <c r="F51" i="6"/>
  <c r="H51" i="6" s="1"/>
  <c r="F67" i="6"/>
  <c r="H67" i="6" s="1"/>
  <c r="H26" i="6"/>
  <c r="F31" i="6"/>
  <c r="H31" i="6" s="1"/>
  <c r="F46" i="6"/>
  <c r="H46" i="6" s="1"/>
  <c r="F41" i="6"/>
  <c r="H41" i="6" s="1"/>
  <c r="F47" i="6"/>
  <c r="H47" i="6" s="1"/>
  <c r="F37" i="6"/>
  <c r="H37" i="6" s="1"/>
  <c r="F42" i="6"/>
  <c r="H42" i="6" s="1"/>
  <c r="F68" i="6"/>
  <c r="H68" i="6" s="1"/>
  <c r="H27" i="6"/>
  <c r="F32" i="6"/>
  <c r="H32" i="6" s="1"/>
  <c r="F52" i="6"/>
  <c r="H52" i="6" s="1"/>
  <c r="D66" i="6"/>
  <c r="C66" i="6"/>
  <c r="H45" i="6"/>
  <c r="C20" i="6"/>
  <c r="D22" i="6"/>
  <c r="K68" i="6"/>
  <c r="H40" i="6"/>
  <c r="C21" i="6"/>
  <c r="C16" i="6"/>
  <c r="C22" i="6"/>
  <c r="F54" i="6"/>
  <c r="K66" i="6"/>
  <c r="C35" i="6"/>
  <c r="B64" i="6"/>
  <c r="H64" i="6"/>
  <c r="D24" i="6" l="1"/>
  <c r="C24" i="6"/>
  <c r="D49" i="6"/>
  <c r="C49" i="6"/>
  <c r="B2" i="6"/>
  <c r="H65" i="6"/>
  <c r="C2" i="6"/>
  <c r="D39" i="6"/>
  <c r="C39" i="6"/>
  <c r="D34" i="6"/>
  <c r="C34" i="6"/>
  <c r="D29" i="6"/>
  <c r="C29" i="6"/>
  <c r="D44" i="6"/>
  <c r="C44" i="6"/>
  <c r="D37" i="6"/>
  <c r="C37" i="6"/>
  <c r="D47" i="6"/>
  <c r="C47" i="6"/>
  <c r="D41" i="6"/>
  <c r="C41" i="6"/>
  <c r="D46" i="6"/>
  <c r="C46" i="6"/>
  <c r="D45" i="6"/>
  <c r="C45" i="6"/>
  <c r="D26" i="6"/>
  <c r="C26" i="6"/>
  <c r="D27" i="6"/>
  <c r="C27" i="6"/>
  <c r="D40" i="6"/>
  <c r="C40" i="6"/>
  <c r="D31" i="6"/>
  <c r="C31" i="6"/>
  <c r="D67" i="6"/>
  <c r="C67" i="6"/>
  <c r="D52" i="6"/>
  <c r="C52" i="6"/>
  <c r="D51" i="6"/>
  <c r="C51" i="6"/>
  <c r="F57" i="6"/>
  <c r="H57" i="6" s="1"/>
  <c r="H54" i="6"/>
  <c r="F62" i="6"/>
  <c r="H62" i="6" s="1"/>
  <c r="F63" i="6"/>
  <c r="H63" i="6" s="1"/>
  <c r="F58" i="6"/>
  <c r="H58" i="6" s="1"/>
  <c r="F60" i="6"/>
  <c r="H60" i="6" s="1"/>
  <c r="F55" i="6"/>
  <c r="F59" i="6"/>
  <c r="H59" i="6" s="1"/>
  <c r="D32" i="6"/>
  <c r="C32" i="6"/>
  <c r="D36" i="6"/>
  <c r="C36" i="6"/>
  <c r="D68" i="6"/>
  <c r="C68" i="6"/>
  <c r="D42" i="6"/>
  <c r="C42" i="6"/>
  <c r="C64" i="6"/>
  <c r="D64" i="6"/>
  <c r="D65" i="6" l="1"/>
  <c r="C65" i="6"/>
  <c r="D63" i="6"/>
  <c r="C63" i="6"/>
  <c r="D62" i="6"/>
  <c r="C62" i="6"/>
  <c r="D57" i="6"/>
  <c r="C57" i="6"/>
  <c r="D58" i="6"/>
  <c r="C58" i="6"/>
  <c r="D59" i="6"/>
  <c r="C59" i="6"/>
  <c r="F56" i="6"/>
  <c r="H56" i="6" s="1"/>
  <c r="H55" i="6"/>
  <c r="H70" i="6" s="1"/>
  <c r="D2" i="6" s="1"/>
  <c r="D60" i="6"/>
  <c r="C60" i="6"/>
  <c r="D54" i="6"/>
  <c r="C54" i="6"/>
  <c r="D56" i="6" l="1"/>
  <c r="C56" i="6"/>
  <c r="D55" i="6"/>
  <c r="C5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<sst xmlns="http://schemas.openxmlformats.org/spreadsheetml/2006/main" count="24036" uniqueCount="15928">
  <si>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</si>
  <si>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</si>
  <si>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</si>
  <si>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</si>
  <si>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</si>
  <si>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</si>
  <si>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</si>
  <si>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</si>
  <si>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</si>
  <si>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</si>
  <si>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</si>
  <si>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</si>
  <si>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</si>
  <si>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</si>
  <si>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</si>
  <si>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</si>
  <si>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</si>
  <si>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</si>
  <si>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</si>
  <si>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</si>
  <si>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</si>
  <si>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</si>
  <si>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</si>
  <si>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</si>
  <si>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</si>
  <si>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</si>
  <si>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</si>
  <si>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</si>
  <si>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</si>
  <si>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</si>
  <si>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</si>
  <si>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</si>
  <si>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</si>
  <si>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</si>
  <si>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</si>
  <si>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</si>
  <si>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</si>
  <si>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</si>
  <si>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</si>
  <si>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</si>
  <si>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</si>
  <si>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</si>
  <si>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</si>
  <si>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</si>
  <si>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</si>
  <si>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</si>
  <si>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</si>
  <si>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</si>
  <si>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</si>
  <si>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</si>
  <si>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</si>
  <si>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</si>
  <si>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</si>
  <si>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</si>
  <si>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</si>
  <si>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</si>
  <si>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</si>
  <si>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</si>
  <si>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</si>
  <si>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</si>
  <si>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</si>
  <si>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</si>
  <si>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</si>
  <si>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</si>
  <si>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</si>
  <si>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</si>
  <si>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</si>
  <si>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</si>
  <si>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</si>
  <si>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</si>
  <si>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</si>
  <si>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</si>
  <si>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</si>
  <si>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</si>
  <si>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</si>
  <si>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</si>
  <si>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</si>
  <si>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</si>
  <si>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</si>
  <si>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</si>
  <si>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</si>
  <si>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</si>
  <si>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</si>
  <si>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</si>
  <si>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</si>
  <si>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</si>
  <si>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</si>
  <si>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</si>
  <si>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</si>
  <si>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</si>
  <si>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</si>
  <si>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</si>
  <si>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</si>
  <si>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</si>
  <si>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</si>
  <si>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</si>
  <si>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</si>
  <si>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</si>
  <si>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</si>
  <si>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</si>
  <si>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</si>
  <si>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</si>
  <si>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</si>
  <si>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</si>
  <si>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</si>
  <si>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</si>
  <si>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</si>
  <si>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</si>
  <si>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</si>
  <si>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</si>
  <si>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</si>
  <si>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</si>
  <si>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</si>
  <si>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</si>
  <si>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</si>
  <si>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</si>
  <si>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</si>
  <si>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</si>
  <si>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</si>
  <si>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</si>
  <si>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</si>
  <si>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</si>
  <si>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</si>
  <si>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</si>
  <si>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</si>
  <si>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</si>
  <si>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</si>
  <si>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</si>
  <si>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</si>
  <si>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</si>
  <si>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</si>
  <si>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</si>
  <si>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</si>
  <si>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</si>
  <si>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</si>
  <si>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</si>
  <si>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</si>
  <si>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</si>
  <si>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</si>
  <si>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</si>
  <si>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</si>
  <si>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</si>
  <si>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</si>
  <si>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</si>
  <si>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</si>
  <si>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</si>
  <si>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</si>
  <si>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</si>
  <si>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</si>
  <si>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</si>
  <si>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</si>
  <si>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</si>
  <si>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</si>
  <si>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</si>
  <si>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</si>
  <si>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</si>
  <si>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</si>
  <si>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</si>
  <si>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</si>
  <si>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</si>
  <si>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</si>
  <si>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</si>
  <si>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</si>
  <si>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</si>
  <si>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</si>
  <si>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</si>
  <si>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</si>
  <si>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</si>
  <si>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</si>
  <si>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</si>
  <si>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</si>
  <si>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</si>
  <si>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</si>
  <si>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</si>
  <si>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</si>
  <si>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</si>
  <si>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</si>
  <si>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</si>
  <si>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</si>
  <si>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</si>
  <si>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</si>
  <si>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</si>
  <si>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</si>
  <si>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</si>
  <si>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</si>
  <si>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</si>
  <si>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</si>
  <si>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</si>
  <si>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</si>
  <si>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</si>
  <si>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</si>
  <si>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</si>
  <si>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</si>
  <si>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</si>
  <si>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</si>
  <si>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</si>
  <si>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</si>
  <si>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</si>
  <si>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</si>
  <si>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</si>
  <si>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</si>
  <si>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</si>
  <si>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</si>
  <si>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</si>
  <si>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</si>
  <si>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</si>
  <si>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</si>
  <si>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</si>
  <si>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</si>
  <si>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</si>
  <si>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</si>
  <si>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</si>
  <si>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</si>
  <si>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</si>
  <si>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</si>
  <si>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</si>
  <si>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</si>
  <si>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</si>
  <si>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</si>
  <si>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</si>
  <si>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</si>
  <si>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</si>
  <si>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</si>
  <si>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</si>
  <si>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</si>
  <si>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</si>
  <si>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</si>
  <si>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</si>
  <si>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</si>
  <si>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</si>
  <si>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</si>
  <si>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</si>
  <si>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</si>
  <si>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</si>
  <si>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</si>
  <si>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</si>
  <si>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</si>
  <si>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</si>
  <si>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</si>
  <si>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</si>
  <si>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</si>
  <si>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</si>
  <si>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</si>
  <si>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</si>
  <si>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</si>
  <si>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</si>
  <si>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</si>
  <si>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</si>
  <si>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</si>
  <si>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</si>
  <si>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</si>
  <si>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</si>
  <si>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</si>
  <si>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</si>
  <si>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</si>
  <si>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</si>
  <si>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</si>
  <si>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</si>
  <si>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</si>
  <si>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</si>
  <si>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</si>
  <si>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</si>
  <si>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</si>
  <si>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</si>
  <si>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</si>
  <si>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</si>
  <si>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</si>
  <si>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</si>
  <si>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</si>
  <si>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</si>
  <si>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</si>
  <si>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</si>
  <si>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</si>
  <si>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</si>
  <si>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</si>
  <si>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</si>
  <si>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</si>
  <si>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</si>
  <si>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</si>
  <si>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</si>
  <si>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</si>
  <si>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</si>
  <si>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</si>
  <si>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</si>
  <si>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</si>
  <si>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</si>
  <si>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</si>
  <si>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</si>
  <si>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</si>
  <si>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</si>
  <si>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</si>
  <si>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</si>
  <si>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</si>
  <si>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</si>
  <si>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</si>
  <si>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</si>
  <si>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</si>
  <si>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</si>
  <si>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</si>
  <si>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</si>
  <si>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</si>
  <si>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</si>
  <si>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</si>
  <si>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</si>
  <si>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</si>
  <si>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</si>
  <si>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</si>
  <si>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</si>
  <si>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</si>
  <si>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</si>
  <si>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</si>
  <si>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</si>
  <si>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</si>
  <si>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</si>
  <si>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</si>
  <si>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</si>
  <si>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</si>
  <si>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</si>
  <si>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</si>
  <si>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</si>
  <si>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</si>
  <si>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</si>
  <si>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</si>
  <si>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</si>
  <si>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</si>
  <si>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</si>
  <si>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</si>
  <si>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</si>
  <si>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</si>
  <si>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</si>
  <si>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</si>
  <si>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</si>
  <si>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</si>
  <si>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</si>
  <si>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</si>
  <si>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</si>
  <si>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</si>
  <si>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</si>
  <si>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</si>
  <si>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</si>
  <si>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</si>
  <si>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</si>
  <si>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</si>
  <si>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</si>
  <si>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</si>
  <si>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</si>
  <si>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</si>
  <si>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</si>
  <si>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</si>
  <si>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</si>
  <si>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</si>
  <si>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</si>
  <si>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</si>
  <si>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</si>
  <si>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</si>
  <si>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</si>
  <si>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</si>
  <si>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</si>
  <si>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</si>
  <si>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</si>
  <si>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</si>
  <si>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</si>
  <si>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</si>
  <si>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</si>
  <si>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</si>
  <si>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</si>
  <si>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</si>
  <si>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</si>
  <si>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</si>
  <si>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</si>
  <si>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</si>
  <si>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</si>
  <si>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</si>
  <si>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</si>
  <si>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</si>
  <si>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</si>
  <si>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</si>
  <si>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</si>
  <si>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</si>
  <si>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</si>
  <si>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</si>
  <si>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</si>
  <si>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</si>
  <si>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</si>
  <si>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</si>
  <si>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</si>
  <si>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</si>
  <si>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</si>
  <si>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</si>
  <si>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</si>
  <si>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</si>
  <si>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</si>
  <si>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</si>
  <si>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</si>
  <si>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</si>
  <si>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</si>
  <si>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</si>
  <si>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</si>
  <si>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</si>
  <si>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</si>
  <si>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</si>
  <si>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</si>
  <si>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</si>
  <si>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</si>
  <si>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</si>
  <si>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</si>
  <si>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</si>
  <si>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</si>
  <si>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</si>
  <si>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</si>
  <si>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</si>
  <si>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</si>
  <si>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</si>
  <si>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</si>
  <si>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</si>
  <si>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</si>
  <si>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</si>
  <si>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</si>
  <si>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</si>
  <si>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</si>
  <si>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</si>
  <si>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</si>
  <si>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</si>
  <si>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</si>
  <si>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</si>
  <si>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</si>
  <si>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</si>
  <si>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</si>
  <si>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</si>
  <si>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</si>
  <si>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</si>
  <si>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</si>
  <si>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</si>
  <si>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</si>
  <si>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</si>
  <si>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</si>
  <si>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</si>
  <si>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</si>
  <si>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</si>
  <si>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</si>
  <si>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</si>
  <si>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</si>
  <si>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</si>
  <si>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</si>
  <si>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</si>
  <si>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</si>
  <si>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</si>
  <si>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</si>
  <si>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</si>
  <si>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</si>
  <si>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</si>
  <si>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</si>
  <si>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</si>
  <si>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</si>
  <si>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</si>
  <si>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</si>
  <si>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</si>
  <si>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</si>
  <si>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</si>
  <si>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</si>
  <si>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</si>
  <si>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</si>
  <si>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</si>
  <si>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</si>
  <si>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</si>
  <si>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</si>
  <si>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</si>
  <si>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</si>
  <si>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</si>
  <si>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</si>
  <si>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</si>
  <si>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</si>
  <si>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</si>
  <si>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</si>
  <si>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</si>
  <si>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</si>
  <si>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</si>
  <si>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</si>
  <si>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</si>
  <si>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</si>
  <si>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</si>
  <si>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</si>
  <si>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</si>
  <si>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</si>
  <si>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</si>
  <si>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</si>
  <si>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</si>
  <si>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</si>
  <si>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</si>
  <si>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</si>
  <si>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</si>
  <si>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</si>
  <si>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</si>
  <si>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</si>
  <si>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</si>
  <si>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</si>
  <si>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</si>
  <si>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</si>
  <si>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</si>
  <si>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</si>
  <si>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</si>
  <si>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</si>
  <si>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</si>
  <si>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</si>
  <si>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</si>
  <si>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</si>
  <si>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</si>
  <si>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</si>
  <si>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</si>
  <si>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</si>
  <si>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</si>
  <si>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</si>
  <si>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</si>
  <si>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</si>
  <si>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</si>
  <si>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</si>
  <si>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</si>
  <si>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</si>
  <si>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</si>
  <si>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</si>
  <si>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</si>
  <si>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</si>
  <si>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</si>
  <si>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</si>
  <si>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</si>
  <si>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</si>
  <si>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</si>
  <si>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</si>
  <si>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</si>
  <si>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</si>
  <si>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</si>
  <si>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</si>
  <si>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</si>
  <si>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</si>
  <si>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</si>
  <si>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</si>
  <si>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</si>
  <si>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</si>
  <si>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</si>
  <si>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</si>
  <si>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</si>
  <si>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</si>
  <si>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</si>
  <si>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</si>
  <si>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</si>
  <si>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</si>
  <si>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</si>
  <si>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</si>
  <si>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</si>
  <si>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</si>
  <si>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</si>
  <si>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</si>
  <si>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</si>
  <si>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</si>
  <si>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</si>
  <si>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</si>
  <si>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</si>
  <si>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</si>
  <si>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</si>
  <si>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</si>
  <si>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</si>
  <si>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</si>
  <si>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</si>
  <si>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</si>
  <si>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</si>
  <si>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</si>
  <si>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</si>
  <si>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</si>
  <si>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</si>
  <si>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</si>
  <si>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</si>
  <si>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</si>
  <si>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</si>
  <si>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</si>
  <si>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</si>
  <si>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</si>
  <si>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</si>
  <si>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</si>
  <si>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</si>
  <si>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</si>
  <si>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</si>
  <si>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</si>
  <si>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</si>
  <si>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</si>
  <si>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</si>
  <si>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</si>
  <si>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</si>
  <si>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</si>
  <si>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</si>
  <si>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</si>
  <si>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</si>
  <si>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</si>
  <si>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</si>
  <si>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</si>
  <si>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</si>
  <si>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</si>
  <si>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</si>
  <si>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</si>
  <si>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</si>
  <si>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</si>
  <si>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</si>
  <si>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</si>
  <si>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</si>
  <si>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</si>
  <si>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</si>
  <si>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</si>
  <si>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</si>
  <si>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</si>
  <si>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</si>
  <si>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</si>
  <si>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</si>
  <si>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</si>
  <si>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</si>
  <si>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</si>
  <si>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</si>
  <si>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</si>
  <si>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</si>
  <si>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</si>
  <si>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</si>
  <si>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</si>
  <si>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</si>
  <si>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</si>
  <si>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</si>
  <si>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</si>
  <si>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</si>
  <si>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</si>
  <si>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</si>
  <si>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</si>
  <si>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</si>
  <si>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</si>
  <si>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</si>
  <si>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</si>
  <si>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</si>
  <si>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</si>
  <si>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</si>
  <si>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</si>
  <si>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</si>
  <si>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</si>
  <si>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</si>
  <si>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</si>
  <si>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</si>
  <si>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</si>
  <si>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</si>
  <si>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</si>
  <si>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</si>
  <si>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</si>
  <si>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</si>
  <si>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</si>
  <si>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</si>
  <si>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</si>
  <si>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</si>
  <si>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</si>
  <si>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</si>
  <si>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</si>
  <si>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</si>
  <si>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</si>
  <si>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</si>
  <si>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</si>
  <si>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</si>
  <si>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</si>
  <si>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</si>
  <si>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</si>
  <si>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</si>
  <si>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</si>
  <si>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</si>
  <si>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</si>
  <si>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</si>
  <si>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</si>
  <si>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</si>
  <si>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</si>
  <si>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</si>
  <si>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</si>
  <si>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</si>
  <si>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</si>
  <si>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</si>
  <si>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</si>
  <si>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</si>
  <si>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</si>
  <si>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</si>
  <si>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</si>
  <si>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</si>
  <si>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</si>
  <si>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</si>
  <si>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</si>
  <si>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</si>
  <si>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</si>
  <si>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</si>
  <si>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</si>
  <si>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</si>
  <si>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</si>
  <si>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</si>
  <si>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</si>
  <si>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</si>
  <si>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</si>
  <si>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</si>
  <si>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</si>
  <si>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</si>
  <si>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</si>
  <si>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</si>
  <si>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</si>
  <si>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</si>
  <si>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</si>
  <si>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</si>
  <si>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</si>
  <si>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</si>
  <si>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</si>
  <si>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</si>
  <si>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</si>
  <si>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</si>
  <si>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</si>
  <si>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</si>
  <si>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</si>
  <si>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</si>
  <si>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</si>
  <si>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</si>
  <si>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</si>
  <si>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</si>
  <si>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</si>
  <si>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</si>
  <si>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</si>
  <si>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</si>
  <si>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</si>
  <si>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</si>
  <si>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</si>
  <si>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</si>
  <si>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</si>
  <si>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</si>
  <si>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</si>
  <si>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</si>
  <si>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</si>
  <si>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</si>
  <si>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</si>
  <si>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</si>
  <si>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</si>
  <si>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</si>
  <si>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</si>
  <si>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</si>
  <si>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</si>
  <si>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</si>
  <si>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</si>
  <si>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</si>
  <si>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</si>
  <si>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</si>
  <si>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</si>
  <si>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</si>
  <si>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</si>
  <si>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</si>
  <si>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</si>
  <si>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</si>
  <si>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</si>
  <si>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</si>
  <si>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</si>
  <si>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</si>
  <si>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</si>
  <si>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</si>
  <si>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</si>
  <si>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</si>
  <si>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</si>
  <si>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</si>
  <si>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</si>
  <si>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</si>
  <si>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</si>
  <si>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</si>
  <si>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</si>
  <si>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</si>
  <si>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</si>
  <si>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</si>
  <si>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</si>
  <si>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</si>
  <si>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</si>
  <si>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</si>
  <si>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</si>
  <si>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</si>
  <si>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</si>
  <si>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</si>
  <si>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</si>
  <si>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</si>
  <si>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</si>
  <si>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</si>
  <si>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</si>
  <si>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</si>
  <si>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</si>
  <si>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</si>
  <si>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</si>
  <si>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</si>
  <si>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</si>
  <si>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</si>
  <si>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</si>
  <si>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</si>
  <si>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</si>
  <si>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</si>
  <si>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</si>
  <si>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</si>
  <si>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</si>
  <si>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</si>
  <si>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</si>
  <si>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</si>
  <si>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</si>
  <si>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</si>
  <si>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</si>
  <si>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</si>
  <si>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</si>
  <si>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</si>
  <si>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</si>
  <si>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</si>
  <si>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</si>
  <si>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</si>
  <si>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</si>
  <si>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</si>
  <si>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</si>
  <si>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</si>
  <si>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</si>
  <si>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</si>
  <si>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</si>
  <si>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</si>
  <si>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</si>
  <si>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</si>
  <si>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</si>
  <si>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</si>
  <si>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</si>
  <si>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</si>
  <si>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</si>
  <si>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</si>
  <si>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</si>
  <si>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</si>
  <si>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</si>
  <si>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</si>
  <si>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</si>
  <si>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</si>
  <si>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</si>
  <si>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</si>
  <si>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</si>
  <si>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</si>
  <si>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</si>
  <si>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</si>
  <si>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</si>
  <si>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</si>
  <si>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</si>
  <si>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</si>
  <si>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</si>
  <si>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</si>
  <si>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</si>
  <si>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</si>
  <si>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</si>
  <si>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</si>
  <si>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</si>
  <si>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</si>
  <si>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</si>
  <si>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</si>
  <si>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</si>
  <si>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</si>
  <si>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</si>
  <si>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</si>
  <si>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</si>
  <si>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</si>
  <si>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</si>
  <si>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</si>
  <si>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</si>
  <si>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</si>
  <si>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</si>
  <si>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</si>
  <si>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</si>
  <si>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</si>
  <si>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</si>
  <si>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</si>
  <si>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</si>
  <si>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</si>
  <si>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</si>
  <si>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</si>
  <si>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</si>
  <si>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</si>
  <si>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</si>
  <si>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</si>
  <si>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</si>
  <si>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</si>
  <si>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</si>
  <si>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</si>
  <si>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</si>
  <si>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</si>
  <si>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</si>
  <si>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</si>
  <si>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</si>
  <si>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</si>
  <si>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</si>
  <si>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</si>
  <si>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</si>
  <si>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</si>
  <si>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</si>
  <si>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</si>
  <si>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</si>
  <si>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</si>
  <si>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</si>
  <si>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</si>
  <si>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</si>
  <si>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</si>
  <si>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</si>
  <si>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</si>
  <si>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</si>
  <si>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</si>
  <si>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</si>
  <si>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</si>
  <si>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</si>
  <si>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</si>
  <si>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</si>
  <si>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</si>
  <si>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</si>
  <si>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</si>
  <si>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</si>
  <si>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</si>
  <si>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</si>
  <si>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</si>
  <si>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</si>
  <si>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</si>
  <si>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</si>
  <si>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</si>
  <si>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</si>
  <si>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</si>
  <si>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</si>
  <si>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</si>
  <si>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</si>
  <si>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</si>
  <si>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</si>
  <si>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</si>
  <si>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</si>
  <si>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</si>
  <si>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</si>
  <si>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</si>
  <si>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</si>
  <si>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</si>
  <si>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</si>
  <si>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</si>
  <si>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</si>
  <si>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</si>
  <si>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</si>
  <si>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</si>
  <si>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</si>
  <si>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</si>
  <si>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</si>
  <si>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</si>
  <si>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</si>
  <si>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</si>
  <si>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</si>
  <si>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</si>
  <si>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</si>
  <si>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</si>
  <si>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</si>
  <si>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</si>
  <si>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</si>
  <si>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</si>
  <si>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</si>
  <si>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</si>
  <si>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</si>
  <si>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</si>
  <si>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</si>
  <si>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</si>
  <si>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</si>
  <si>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</si>
  <si>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</si>
  <si>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</si>
  <si>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</si>
  <si>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</si>
  <si>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</si>
  <si>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</si>
  <si>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</si>
  <si>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</si>
  <si>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</si>
  <si>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</si>
  <si>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</si>
  <si>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</si>
  <si>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</si>
  <si>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</si>
  <si>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</si>
  <si>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</si>
  <si>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</si>
  <si>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</si>
  <si>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</si>
  <si>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</si>
  <si>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</si>
  <si>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</si>
  <si>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</si>
  <si>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</si>
  <si>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</si>
  <si>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</si>
  <si>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</si>
  <si>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</si>
  <si>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</si>
  <si>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</si>
  <si>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</si>
  <si>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</si>
  <si>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</si>
  <si>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</si>
  <si>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</si>
  <si>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</si>
  <si>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</si>
  <si>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</si>
  <si>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</si>
  <si>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</si>
  <si>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</si>
  <si>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</si>
  <si>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</si>
  <si>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</si>
  <si>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</si>
  <si>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</si>
  <si>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</si>
  <si>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</si>
  <si>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</si>
  <si>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</si>
  <si>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</si>
  <si>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</si>
  <si>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</si>
  <si>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</si>
  <si>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</si>
  <si>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</si>
  <si>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</si>
  <si>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</si>
  <si>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</si>
  <si>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</si>
  <si>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</si>
  <si>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</si>
  <si>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</si>
  <si>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</si>
  <si>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</si>
  <si>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</si>
  <si>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</si>
  <si>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</si>
  <si>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</si>
  <si>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</si>
  <si>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</si>
  <si>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</si>
  <si>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</si>
  <si>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</si>
  <si>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</si>
  <si>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</si>
  <si>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</si>
  <si>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</si>
  <si>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</si>
  <si>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</si>
  <si>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</si>
  <si>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</si>
  <si>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</si>
  <si>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</si>
  <si>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</si>
  <si>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</si>
  <si>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</si>
  <si>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</si>
  <si>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</si>
  <si>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</si>
  <si>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</si>
  <si>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</si>
  <si>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</si>
  <si>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</si>
  <si>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</si>
  <si>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</si>
  <si>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</si>
  <si>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</si>
  <si>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</si>
  <si>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</si>
  <si>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</si>
  <si>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</si>
  <si>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</si>
  <si>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</si>
  <si>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</si>
  <si>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</si>
  <si>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</si>
  <si>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</si>
  <si>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</si>
  <si>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</si>
  <si>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</si>
  <si>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</si>
  <si>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</si>
  <si>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</si>
  <si>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</si>
  <si>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</si>
  <si>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</si>
  <si>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</si>
  <si>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</si>
  <si>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</si>
  <si>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</si>
  <si>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</si>
  <si>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</si>
  <si>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</si>
  <si>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</si>
  <si>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</si>
  <si>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</si>
  <si>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</si>
  <si>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</si>
  <si>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</si>
  <si>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</si>
  <si>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</si>
  <si>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</si>
  <si>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</si>
  <si>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</si>
  <si>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</si>
  <si>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</si>
  <si>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</si>
  <si>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</si>
  <si>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</si>
  <si>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</si>
  <si>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</si>
  <si>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</si>
  <si>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</si>
  <si>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</si>
  <si>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</si>
  <si>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</si>
  <si>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</si>
  <si>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</si>
  <si>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</si>
  <si>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</si>
  <si>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</si>
  <si>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</si>
  <si>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</si>
  <si>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</si>
  <si>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</si>
  <si>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</si>
  <si>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</si>
  <si>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</si>
  <si>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</si>
  <si>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</si>
  <si>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</si>
  <si>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</si>
  <si>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</si>
  <si>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</si>
  <si>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</si>
  <si>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</si>
  <si>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</si>
  <si>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</si>
  <si>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</si>
  <si>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</si>
  <si>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</si>
  <si>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</si>
  <si>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</si>
  <si>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</si>
  <si>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</si>
  <si>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</si>
  <si>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</si>
  <si>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</si>
  <si>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</si>
  <si>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</si>
  <si>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</si>
  <si>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</si>
  <si>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</si>
  <si>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</si>
  <si>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</si>
  <si>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</si>
  <si>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</si>
  <si>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</si>
  <si>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</si>
  <si>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</si>
  <si>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</si>
  <si>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</si>
  <si>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</si>
  <si>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</si>
  <si>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</si>
  <si>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</si>
  <si>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</si>
  <si>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</si>
  <si>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</si>
  <si>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</si>
  <si>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</si>
  <si>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</si>
  <si>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</si>
  <si>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</si>
  <si>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</si>
  <si>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</si>
  <si>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</si>
  <si>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</si>
  <si>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</si>
  <si>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</si>
  <si>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</si>
  <si>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</si>
  <si>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</si>
  <si>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</si>
  <si>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</si>
  <si>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</si>
  <si>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</si>
  <si>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</si>
  <si>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</si>
  <si>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</si>
  <si>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</si>
  <si>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</si>
  <si>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</si>
  <si>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</si>
  <si>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</si>
  <si>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</si>
  <si>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</si>
  <si>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</si>
  <si>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</si>
  <si>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</si>
  <si>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</si>
  <si>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</si>
  <si>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</si>
  <si>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</si>
  <si>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</si>
  <si>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</si>
  <si>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</si>
  <si>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</si>
  <si>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</si>
  <si>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</si>
  <si>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</si>
  <si>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</si>
  <si>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</si>
  <si>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</si>
  <si>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</si>
  <si>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</si>
  <si>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</si>
  <si>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</si>
  <si>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</si>
  <si>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</si>
  <si>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</si>
  <si>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</si>
  <si>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</si>
  <si>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</si>
  <si>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</si>
  <si>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</si>
  <si>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</si>
  <si>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</si>
  <si>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</si>
  <si>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</si>
  <si>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</si>
  <si>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</si>
  <si>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</si>
  <si>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</si>
  <si>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</si>
  <si>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</si>
  <si>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</si>
  <si>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</si>
  <si>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</si>
  <si>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</si>
  <si>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</si>
  <si>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</si>
  <si>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</si>
  <si>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</si>
  <si>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</si>
  <si>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</si>
  <si>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</si>
  <si>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</si>
  <si>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</si>
  <si>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</si>
  <si>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</si>
  <si>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</si>
  <si>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</si>
  <si>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</si>
  <si>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</si>
  <si>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</si>
  <si>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</si>
  <si>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</si>
  <si>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</si>
  <si>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</si>
  <si>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</si>
  <si>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</si>
  <si>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</si>
  <si>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</si>
  <si>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</si>
  <si>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</si>
  <si>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</si>
  <si>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</si>
  <si>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</si>
  <si>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</si>
  <si>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</si>
  <si>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</si>
  <si>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</si>
  <si>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</si>
  <si>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</si>
  <si>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</si>
  <si>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</si>
  <si>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</si>
  <si>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</si>
  <si>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</si>
  <si>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</si>
  <si>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</si>
  <si>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</si>
  <si>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</si>
  <si>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</si>
  <si>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</si>
  <si>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</si>
  <si>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</si>
  <si>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</si>
  <si>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</si>
  <si>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</si>
  <si>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</si>
  <si>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</si>
  <si>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</si>
  <si>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</si>
  <si>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</si>
  <si>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</si>
  <si>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</si>
  <si>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</si>
  <si>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</si>
  <si>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</si>
  <si>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</si>
  <si>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</si>
  <si>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</si>
  <si>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</si>
  <si>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</si>
  <si>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</si>
  <si>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</si>
  <si>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</si>
  <si>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</si>
  <si>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</si>
  <si>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</si>
  <si>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</si>
  <si>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</si>
  <si>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</si>
  <si>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</si>
  <si>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</si>
  <si>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</si>
  <si>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</si>
  <si>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</si>
  <si>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</si>
  <si>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</si>
  <si>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</si>
  <si>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</si>
  <si>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</si>
  <si>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</si>
  <si>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</si>
  <si>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</si>
  <si>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</si>
  <si>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</si>
  <si>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</si>
  <si>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</si>
  <si>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</si>
  <si>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</si>
  <si>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</si>
  <si>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</si>
  <si>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</si>
  <si>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</si>
  <si>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</si>
  <si>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</si>
  <si>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</si>
  <si>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</si>
  <si>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</si>
  <si>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</si>
  <si>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</si>
  <si>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</si>
  <si>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</si>
  <si>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</si>
  <si>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</si>
  <si>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</si>
  <si>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</si>
  <si>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</si>
  <si>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</si>
  <si>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</si>
  <si>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</si>
  <si>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</si>
  <si>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</si>
  <si>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</si>
  <si>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</si>
  <si>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</si>
  <si>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</si>
  <si>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</si>
  <si>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</si>
  <si>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</si>
  <si>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</si>
  <si>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</si>
  <si>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</si>
  <si>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</si>
  <si>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</si>
  <si>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</si>
  <si>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</si>
  <si>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</si>
  <si>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</si>
  <si>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</si>
  <si>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</si>
  <si>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</si>
  <si>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</si>
  <si>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</si>
  <si>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</si>
  <si>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</si>
  <si>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</si>
  <si>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</si>
  <si>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</si>
  <si>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</si>
  <si>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</si>
  <si>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</si>
  <si>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</si>
  <si>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</si>
  <si>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</si>
  <si>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</si>
  <si>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</si>
  <si>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</si>
  <si>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</si>
  <si>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</si>
  <si>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</si>
  <si>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</si>
  <si>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</si>
  <si>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</si>
  <si>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</si>
  <si>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</si>
  <si>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</si>
  <si>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</si>
  <si>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</si>
  <si>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</si>
  <si>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</si>
  <si>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</si>
  <si>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</si>
  <si>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</si>
  <si>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</si>
  <si>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</si>
  <si>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</si>
  <si>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</si>
  <si>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</si>
  <si>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</si>
  <si>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</si>
  <si>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</si>
  <si>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</si>
  <si>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</si>
  <si>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</si>
  <si>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</si>
  <si>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</si>
  <si>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</si>
  <si>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</si>
  <si>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</si>
  <si>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</si>
  <si>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</si>
  <si>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</si>
  <si>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</si>
  <si>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</si>
  <si>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</si>
  <si>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</si>
  <si>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</si>
  <si>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</si>
  <si>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</si>
  <si>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</si>
  <si>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</si>
  <si>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</si>
  <si>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</si>
  <si>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</si>
  <si>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</si>
  <si>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</si>
  <si>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</si>
  <si>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</si>
  <si>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</si>
  <si>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</si>
  <si>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</si>
  <si>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</si>
  <si>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</si>
  <si>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</si>
  <si>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</si>
  <si>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</si>
  <si>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</si>
  <si>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</si>
  <si>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</si>
  <si>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</si>
  <si>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</si>
  <si>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</si>
  <si>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</si>
  <si>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</si>
  <si>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</si>
  <si>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</si>
  <si>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</si>
  <si>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</si>
  <si>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</si>
  <si>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</si>
  <si>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</si>
  <si>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</si>
  <si>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</si>
  <si>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</si>
  <si>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</si>
  <si>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</si>
  <si>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</si>
  <si>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</si>
  <si>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</si>
  <si>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</si>
  <si>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</si>
  <si>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</si>
  <si>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</si>
  <si>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</si>
  <si>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</si>
  <si>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</si>
  <si>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</si>
  <si>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</si>
  <si>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</si>
  <si>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</si>
  <si>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</si>
  <si>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</si>
  <si>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</si>
  <si>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</si>
  <si>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</si>
  <si>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</si>
  <si>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</si>
  <si>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</si>
  <si>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</si>
  <si>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</si>
  <si>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</si>
  <si>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</si>
  <si>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</si>
  <si>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</si>
  <si>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</si>
  <si>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</si>
  <si>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</si>
  <si>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</si>
  <si>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</si>
  <si>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</si>
  <si>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</si>
  <si>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</si>
  <si>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</si>
  <si>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</si>
  <si>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</si>
  <si>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</si>
  <si>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</si>
  <si>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</si>
  <si>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</si>
  <si>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</si>
  <si>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</si>
  <si>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</si>
  <si>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</si>
  <si>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</si>
  <si>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</si>
  <si>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</si>
  <si>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</si>
  <si>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</si>
  <si>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</si>
  <si>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</si>
  <si>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</si>
  <si>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</si>
  <si>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</si>
  <si>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</si>
  <si>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</si>
  <si>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</si>
  <si>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</si>
  <si>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</si>
  <si>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</si>
  <si>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</si>
  <si>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</si>
  <si>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</si>
  <si>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</si>
  <si>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</si>
  <si>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</si>
  <si>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</si>
  <si>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</si>
  <si>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</si>
  <si>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</si>
  <si>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</si>
  <si>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</si>
  <si>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</si>
  <si>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</si>
  <si>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</si>
  <si>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</si>
  <si>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</si>
  <si>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</si>
  <si>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</si>
  <si>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</si>
  <si>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</si>
  <si>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</si>
  <si>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</si>
  <si>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</si>
  <si>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</si>
  <si>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</si>
  <si>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</si>
  <si>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</si>
  <si>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</si>
  <si>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</si>
  <si>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</si>
  <si>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</si>
  <si>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</si>
  <si>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</si>
  <si>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</si>
  <si>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</si>
  <si>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</si>
  <si>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</si>
  <si>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</si>
  <si>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</si>
  <si>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</si>
  <si>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</si>
  <si>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</si>
  <si>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</si>
  <si>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</si>
  <si>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</si>
  <si>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</si>
  <si>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</si>
  <si>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</si>
  <si>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</si>
  <si>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</si>
  <si>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</si>
  <si>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</si>
  <si>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</si>
  <si>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</si>
  <si>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</si>
  <si>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</si>
  <si>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</si>
  <si>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</si>
  <si>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</si>
  <si>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</si>
  <si>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</si>
  <si>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</si>
  <si>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</si>
  <si>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</si>
  <si>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</si>
  <si>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</si>
  <si>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</si>
  <si>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</si>
  <si>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</si>
  <si>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</si>
  <si>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</si>
  <si>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</si>
  <si>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</si>
  <si>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</si>
  <si>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</si>
  <si>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</si>
  <si>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</si>
  <si>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</si>
  <si>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</si>
  <si>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</si>
  <si>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</si>
  <si>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</si>
  <si>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</si>
  <si>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</si>
  <si>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</si>
  <si>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</si>
  <si>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</si>
  <si>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</si>
  <si>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</si>
  <si>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</si>
  <si>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</si>
  <si>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</si>
  <si>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</si>
  <si>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</si>
  <si>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</si>
  <si>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</si>
  <si>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</si>
  <si>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</si>
  <si>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</si>
  <si>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</si>
  <si>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</si>
  <si>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</si>
  <si>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</si>
  <si>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</si>
  <si>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</si>
  <si>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</si>
  <si>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</si>
  <si>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</si>
  <si>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</si>
  <si>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</si>
  <si>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</si>
  <si>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</si>
  <si>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</si>
  <si>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</si>
  <si>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</si>
  <si>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</si>
  <si>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</si>
  <si>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</si>
  <si>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</si>
  <si>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</si>
  <si>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</si>
  <si>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</si>
  <si>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</si>
  <si>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</si>
  <si>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</si>
  <si>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</si>
  <si>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</si>
  <si>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</si>
  <si>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</si>
  <si>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</si>
  <si>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</si>
  <si>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</si>
  <si>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</si>
  <si>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</si>
  <si>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</si>
  <si>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</si>
  <si>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</si>
  <si>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</si>
  <si>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</si>
  <si>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</si>
  <si>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</si>
  <si>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</si>
  <si>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</si>
  <si>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</si>
  <si>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</si>
  <si>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</si>
  <si>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</si>
  <si>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</si>
  <si>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</si>
  <si>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</si>
  <si>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</si>
  <si>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</si>
  <si>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</si>
  <si>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</si>
  <si>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</si>
  <si>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</si>
  <si>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</si>
  <si>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</si>
  <si>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</si>
  <si>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</si>
  <si>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</si>
  <si>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</si>
  <si>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</si>
  <si>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</si>
  <si>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</si>
  <si>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</si>
  <si>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</si>
  <si>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</si>
  <si>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</si>
  <si>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</si>
  <si>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</si>
  <si>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</si>
  <si>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</si>
  <si>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</si>
  <si>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</si>
  <si>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</si>
  <si>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</si>
  <si>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</si>
  <si>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</si>
  <si>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</si>
  <si>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</si>
  <si>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</si>
  <si>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</si>
  <si>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</si>
  <si>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</si>
  <si>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</si>
  <si>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</si>
  <si>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</si>
  <si>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</si>
  <si>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</si>
  <si>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</si>
  <si>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</si>
  <si>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</si>
  <si>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</si>
  <si>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</si>
  <si>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</si>
  <si>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</si>
  <si>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</si>
  <si>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</si>
  <si>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</si>
  <si>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</si>
  <si>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</si>
  <si>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</si>
  <si>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</si>
  <si>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</si>
  <si>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</si>
  <si>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</si>
  <si>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</si>
  <si>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</si>
  <si>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</si>
  <si>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</si>
  <si>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</si>
  <si>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</si>
  <si>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</si>
  <si>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</si>
  <si>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</si>
  <si>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</si>
  <si>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</si>
  <si>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</si>
  <si>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</si>
  <si>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</si>
  <si>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</si>
  <si>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</si>
  <si>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</si>
  <si>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</si>
  <si>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</si>
  <si>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</si>
  <si>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</si>
  <si>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</si>
  <si>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</si>
  <si>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</si>
  <si>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</si>
  <si>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</si>
  <si>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</si>
  <si>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</si>
  <si>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</si>
  <si>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</si>
  <si>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</si>
  <si>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</si>
  <si>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</si>
  <si>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</si>
  <si>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</si>
  <si>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</si>
  <si>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</si>
  <si>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</si>
  <si>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</si>
  <si>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</si>
  <si>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</si>
  <si>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</si>
  <si>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</si>
  <si>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</si>
  <si>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</si>
  <si>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</si>
  <si>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</si>
  <si>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</si>
  <si>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</si>
  <si>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</si>
  <si>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</si>
  <si>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</si>
  <si>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</si>
  <si>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</si>
  <si>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</si>
  <si>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</si>
  <si>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</si>
  <si>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</si>
  <si>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</si>
  <si>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</si>
  <si>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</si>
  <si>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</si>
  <si>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</si>
  <si>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</si>
  <si>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</si>
  <si>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</si>
  <si>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</si>
  <si>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</si>
  <si>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</si>
  <si>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</si>
  <si>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</si>
  <si>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</si>
  <si>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</si>
  <si>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</si>
  <si>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</si>
  <si>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</si>
  <si>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</si>
  <si>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</si>
  <si>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</si>
  <si>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</si>
  <si>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</si>
  <si>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</si>
  <si>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</si>
  <si>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</si>
  <si>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</si>
  <si>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</si>
  <si>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</si>
  <si>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</si>
  <si>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</si>
  <si>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</si>
  <si>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</si>
  <si>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</si>
  <si>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</si>
  <si>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</si>
  <si>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</si>
  <si>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</si>
  <si>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</si>
  <si>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</si>
  <si>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</si>
  <si>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</si>
  <si>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</si>
  <si>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</si>
  <si>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</si>
  <si>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</si>
  <si>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</si>
  <si>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</si>
  <si>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</si>
  <si>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</si>
  <si>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</si>
  <si>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</si>
  <si>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</si>
  <si>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</si>
  <si>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</si>
  <si>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</si>
  <si>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</si>
  <si>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</si>
  <si>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</si>
  <si>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</si>
  <si>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</si>
  <si>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</si>
  <si>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</si>
  <si>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</si>
  <si>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</si>
  <si>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</si>
  <si>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</si>
  <si>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</si>
  <si>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</si>
  <si>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</si>
  <si>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</si>
  <si>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</si>
  <si>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</si>
  <si>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</si>
  <si>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</si>
  <si>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</si>
  <si>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</si>
  <si>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</si>
  <si>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</si>
  <si>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</si>
  <si>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</si>
  <si>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</si>
  <si>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</si>
  <si>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</si>
  <si>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</si>
  <si>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</si>
  <si>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</si>
  <si>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</si>
  <si>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</si>
  <si>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</si>
  <si>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</si>
  <si>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</si>
  <si>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</si>
  <si>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</si>
  <si>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</si>
  <si>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</si>
  <si>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</si>
  <si>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</si>
  <si>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</si>
  <si>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</si>
  <si>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</si>
  <si>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</si>
  <si>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</si>
  <si>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</si>
  <si>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</si>
  <si>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</si>
  <si>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</si>
  <si>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</si>
  <si>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</si>
  <si>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</si>
  <si>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</si>
  <si>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</si>
  <si>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</si>
  <si>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</si>
  <si>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</si>
  <si>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</si>
  <si>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</si>
  <si>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</si>
  <si>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</si>
  <si>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</si>
  <si>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</si>
  <si>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</si>
  <si>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</si>
  <si>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</si>
  <si>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</si>
  <si>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</si>
  <si>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</si>
  <si>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</si>
  <si>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</si>
  <si>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</si>
  <si>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</si>
  <si>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</si>
  <si>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</si>
  <si>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</si>
  <si>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</si>
  <si>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</si>
  <si>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</si>
  <si>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</si>
  <si>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</si>
  <si>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</si>
  <si>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</si>
  <si>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</si>
  <si>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</si>
  <si>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</si>
  <si>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</si>
  <si>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</si>
  <si>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</si>
  <si>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</si>
  <si>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</si>
  <si>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</si>
  <si>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</si>
  <si>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</si>
  <si>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</si>
  <si>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</si>
  <si>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</si>
  <si>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</si>
  <si>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</si>
  <si>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</si>
  <si>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</si>
  <si>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</si>
  <si>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</si>
  <si>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</si>
  <si>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</si>
  <si>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</si>
  <si>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</si>
  <si>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</si>
  <si>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</si>
  <si>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</si>
  <si>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</si>
  <si>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</si>
  <si>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</si>
  <si>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</si>
  <si>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</si>
  <si>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</si>
  <si>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</si>
  <si>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</si>
  <si>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</si>
  <si>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</si>
  <si>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</si>
  <si>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</si>
  <si>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</si>
  <si>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</si>
  <si>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</si>
  <si>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</si>
  <si>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</si>
  <si>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</si>
  <si>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</si>
  <si>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</si>
  <si>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</si>
  <si>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</si>
  <si>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</si>
  <si>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</si>
  <si>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</si>
  <si>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</si>
  <si>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</si>
  <si>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</si>
  <si>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</si>
  <si>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</si>
  <si>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</si>
  <si>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</si>
  <si>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</si>
  <si>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</si>
  <si>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</si>
  <si>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</si>
  <si>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</si>
  <si>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</si>
  <si>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</si>
  <si>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</si>
  <si>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</si>
  <si>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</si>
  <si>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</si>
  <si>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</si>
  <si>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</si>
  <si>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</si>
  <si>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</si>
  <si>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</si>
  <si>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</si>
  <si>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</si>
  <si>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</si>
  <si>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</si>
  <si>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</si>
  <si>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</si>
  <si>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</si>
  <si>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</si>
  <si>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</si>
  <si>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</si>
  <si>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</si>
  <si>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</si>
  <si>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</si>
  <si>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</si>
  <si>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</si>
  <si>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</si>
  <si>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</si>
  <si>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</si>
  <si>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</si>
  <si>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</si>
  <si>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</si>
  <si>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</si>
  <si>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</si>
  <si>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</si>
  <si>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</si>
  <si>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</si>
  <si>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</si>
  <si>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</si>
  <si>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</si>
  <si>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</si>
  <si>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</si>
  <si>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</si>
  <si>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</si>
  <si>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</si>
  <si>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</si>
  <si>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</si>
  <si>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</si>
  <si>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</si>
  <si>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</si>
  <si>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</si>
  <si>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</si>
  <si>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</si>
  <si>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</si>
  <si>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</si>
  <si>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</si>
  <si>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</si>
  <si>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</si>
  <si>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</si>
  <si>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</si>
  <si>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</si>
  <si>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</si>
  <si>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</si>
  <si>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</si>
  <si>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</si>
  <si>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</si>
  <si>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</si>
  <si>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</si>
  <si>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</si>
  <si>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</si>
  <si>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</si>
  <si>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</si>
  <si>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</si>
  <si>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</si>
  <si>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</si>
  <si>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</si>
  <si>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</si>
  <si>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</si>
  <si>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</si>
  <si>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</si>
  <si>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</si>
  <si>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</si>
  <si>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</si>
  <si>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</si>
  <si>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</si>
  <si>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</si>
  <si>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</si>
  <si>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</si>
  <si>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</si>
  <si>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</si>
  <si>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</si>
  <si>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</si>
  <si>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</si>
  <si>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</si>
  <si>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</si>
  <si>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</si>
  <si>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</si>
  <si>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</si>
  <si>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</si>
  <si>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</si>
  <si>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</si>
  <si>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</si>
  <si>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</si>
  <si>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</si>
  <si>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</si>
  <si>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</si>
  <si>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</si>
  <si>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</si>
  <si>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</si>
  <si>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</si>
  <si>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</si>
  <si>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</si>
  <si>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</si>
  <si>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</si>
  <si>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</si>
  <si>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</si>
  <si>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</si>
  <si>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</si>
  <si>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</si>
  <si>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</si>
  <si>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</si>
  <si>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</si>
  <si>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</si>
  <si>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</si>
  <si>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</si>
  <si>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</si>
  <si>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</si>
  <si>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</si>
  <si>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</si>
  <si>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</si>
  <si>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</si>
  <si>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</si>
  <si>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</si>
  <si>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</si>
  <si>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</si>
  <si>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</si>
  <si>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</si>
  <si>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</si>
  <si>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</si>
  <si>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</si>
  <si>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</si>
  <si>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</si>
  <si>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</si>
  <si>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</si>
  <si>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</si>
  <si>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</si>
  <si>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</si>
  <si>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</si>
  <si>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</si>
  <si>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</si>
  <si>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</si>
  <si>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</si>
  <si>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</si>
  <si>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</si>
  <si>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</si>
  <si>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</si>
  <si>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</si>
  <si>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</si>
  <si>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</si>
  <si>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</si>
  <si>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</si>
  <si>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</si>
  <si>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</si>
  <si>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</si>
  <si>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</si>
  <si>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</si>
  <si>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</si>
  <si>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</si>
  <si>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</si>
  <si>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</si>
  <si>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</si>
  <si>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</si>
  <si>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</si>
  <si>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</si>
  <si>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</si>
  <si>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</si>
  <si>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</si>
  <si>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</si>
  <si>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</si>
  <si>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</si>
  <si>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</si>
  <si>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</si>
  <si>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</si>
  <si>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</si>
  <si>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</si>
  <si>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</si>
  <si>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</si>
  <si>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</si>
  <si>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</si>
  <si>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</si>
  <si>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</si>
  <si>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</si>
  <si>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</si>
  <si>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</si>
  <si>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</si>
  <si>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</si>
  <si>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</si>
  <si>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</si>
  <si>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</si>
  <si>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</si>
  <si>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</si>
  <si>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</si>
  <si>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</si>
  <si>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</si>
  <si>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</si>
  <si>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</si>
  <si>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</si>
  <si>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</si>
  <si>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</si>
  <si>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</si>
  <si>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</si>
  <si>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</si>
  <si>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</si>
  <si>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</si>
  <si>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</si>
  <si>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</si>
  <si>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</si>
  <si>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</si>
  <si>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</si>
  <si>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</si>
  <si>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</si>
  <si>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</si>
  <si>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</si>
  <si>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</si>
  <si>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</si>
  <si>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</si>
  <si>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</si>
  <si>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</si>
  <si>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</si>
  <si>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</si>
  <si>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</si>
  <si>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</si>
  <si>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</si>
  <si>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</si>
  <si>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</si>
  <si>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</si>
  <si>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</si>
  <si>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</si>
  <si>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</si>
  <si>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</si>
  <si>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</si>
  <si>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</si>
  <si>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</si>
  <si>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</si>
  <si>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</si>
  <si>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</si>
  <si>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</si>
  <si>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</si>
  <si>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</si>
  <si>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</si>
  <si>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</si>
  <si>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</si>
  <si>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</si>
  <si>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</si>
  <si>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</si>
  <si>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</si>
  <si>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</si>
  <si>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</si>
  <si>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</si>
  <si>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</si>
  <si>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</si>
  <si>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</si>
  <si>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</si>
  <si>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</si>
  <si>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</si>
  <si>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</si>
  <si>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</si>
  <si>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</si>
  <si>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</si>
  <si>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</si>
  <si>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</si>
  <si>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</si>
  <si>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</si>
  <si>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</si>
  <si>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</si>
  <si>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</si>
  <si>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</si>
  <si>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</si>
  <si>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</si>
  <si>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</si>
  <si>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</si>
  <si>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</si>
  <si>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</si>
  <si>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</si>
  <si>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</si>
  <si>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</si>
  <si>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</si>
  <si>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</si>
  <si>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</si>
  <si>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</si>
  <si>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</si>
  <si>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</si>
  <si>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</si>
  <si>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</si>
  <si>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</si>
  <si>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</si>
  <si>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</si>
  <si>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</si>
  <si>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</si>
  <si>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</si>
  <si>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</si>
  <si>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</si>
  <si>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</si>
  <si>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</si>
  <si>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</si>
  <si>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</si>
  <si>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</si>
  <si>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</si>
  <si>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</si>
  <si>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</si>
  <si>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</si>
  <si>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</si>
  <si>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</si>
  <si>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</si>
  <si>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</si>
  <si>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</si>
  <si>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</si>
  <si>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</si>
  <si>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</si>
  <si>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</si>
  <si>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</si>
  <si>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</si>
  <si>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</si>
  <si>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</si>
  <si>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</si>
  <si>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</si>
  <si>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</si>
  <si>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</si>
  <si>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</si>
  <si>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</si>
  <si>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</si>
  <si>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</si>
  <si>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</si>
  <si>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</si>
  <si>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</si>
  <si>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</si>
  <si>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</si>
  <si>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</si>
  <si>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</si>
  <si>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</si>
  <si>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</si>
  <si>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</si>
  <si>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</si>
  <si>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</si>
  <si>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</si>
  <si>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</si>
  <si>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</si>
  <si>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</si>
  <si>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</si>
  <si>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</si>
  <si>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</si>
  <si>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</si>
  <si>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</si>
  <si>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</si>
  <si>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</si>
  <si>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</si>
  <si>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</si>
  <si>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</si>
  <si>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</si>
  <si>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</si>
  <si>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</si>
  <si>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</si>
  <si>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</si>
  <si>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</si>
  <si>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</si>
  <si>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</si>
  <si>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</si>
  <si>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</si>
  <si>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</si>
  <si>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</si>
  <si>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</si>
  <si>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</si>
  <si>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</si>
  <si>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</si>
  <si>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</si>
  <si>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</si>
  <si>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</si>
  <si>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</si>
  <si>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</si>
  <si>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</si>
  <si>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</si>
  <si>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</si>
  <si>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</si>
  <si>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</si>
  <si>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</si>
  <si>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</si>
  <si>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</si>
  <si>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</si>
  <si>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</si>
  <si>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</si>
  <si>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</si>
  <si>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</si>
  <si>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</si>
  <si>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</si>
  <si>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</si>
  <si>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</si>
  <si>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</si>
  <si>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</si>
  <si>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</si>
  <si>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</si>
  <si>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</si>
  <si>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</si>
  <si>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</si>
  <si>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</si>
  <si>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</si>
  <si>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</si>
  <si>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</si>
  <si>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</si>
  <si>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</si>
  <si>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</si>
  <si>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</si>
  <si>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</si>
  <si>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</si>
  <si>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</si>
  <si>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</si>
  <si>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</si>
  <si>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</si>
  <si>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</si>
  <si>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</si>
  <si>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</si>
  <si>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</si>
  <si>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</si>
  <si>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</si>
  <si>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</si>
  <si>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</si>
  <si>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</si>
  <si>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</si>
  <si>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</si>
  <si>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</si>
  <si>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</si>
  <si>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</si>
  <si>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</si>
  <si>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</si>
  <si>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</si>
  <si>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</si>
  <si>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</si>
  <si>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</si>
  <si>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</si>
  <si>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</si>
  <si>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</si>
  <si>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</si>
  <si>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</si>
  <si>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</si>
  <si>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</si>
  <si>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</si>
  <si>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</si>
  <si>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</si>
  <si>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</si>
  <si>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</si>
  <si>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</si>
  <si>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</si>
  <si>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</si>
  <si>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</si>
  <si>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</si>
  <si>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</si>
  <si>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</si>
  <si>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</si>
  <si>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</si>
  <si>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</si>
  <si>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</si>
  <si>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</si>
  <si>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</si>
  <si>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</si>
  <si>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</si>
  <si>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</si>
  <si>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</si>
  <si>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</si>
  <si>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</si>
  <si>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</si>
  <si>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</si>
  <si>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</si>
  <si>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</si>
  <si>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</si>
  <si>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</si>
  <si>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</si>
  <si>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</si>
  <si>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</si>
  <si>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</si>
  <si>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</si>
  <si>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</si>
  <si>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</si>
  <si>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</si>
  <si>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</si>
  <si>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</si>
  <si>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</si>
  <si>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</si>
  <si>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</si>
  <si>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</si>
  <si>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</si>
  <si>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</si>
  <si>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</si>
  <si>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</si>
  <si>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</si>
  <si>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</si>
  <si>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</si>
  <si>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</si>
  <si>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</si>
  <si>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</si>
  <si>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</si>
  <si>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</si>
  <si>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</si>
  <si>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</si>
  <si>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</si>
  <si>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</si>
  <si>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</si>
  <si>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</si>
  <si>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</si>
  <si>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</si>
  <si>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</si>
  <si>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</si>
  <si>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</si>
  <si>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</si>
  <si>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</si>
  <si>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</si>
  <si>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</si>
  <si>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</si>
  <si>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</si>
  <si>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</si>
  <si>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</si>
  <si>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</si>
  <si>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</si>
  <si>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</si>
  <si>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</si>
  <si>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</si>
  <si>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</si>
  <si>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</si>
  <si>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</si>
  <si>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</si>
  <si>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</si>
  <si>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</si>
  <si>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</si>
  <si>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</si>
  <si>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</si>
  <si>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</si>
  <si>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</si>
  <si>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</si>
  <si>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</si>
  <si>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</si>
  <si>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</si>
  <si>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</si>
  <si>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</si>
  <si>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</si>
  <si>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</si>
  <si>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</si>
  <si>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</si>
  <si>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</si>
  <si>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</si>
  <si>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</si>
  <si>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</si>
  <si>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</si>
  <si>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</si>
  <si>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</si>
  <si>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</si>
  <si>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</si>
  <si>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</si>
  <si>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</si>
  <si>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</si>
  <si>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</si>
  <si>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</si>
  <si>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</si>
  <si>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</si>
  <si>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</si>
  <si>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</si>
  <si>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</si>
  <si>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</si>
  <si>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</si>
  <si>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</si>
  <si>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</si>
  <si>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</si>
  <si>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</si>
  <si>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</si>
  <si>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</si>
  <si>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</si>
  <si>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</si>
  <si>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</si>
  <si>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</si>
  <si>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</si>
  <si>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</si>
  <si>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</si>
  <si>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</si>
  <si>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</si>
  <si>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</si>
  <si>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</si>
  <si>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</si>
  <si>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</si>
  <si>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</si>
  <si>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</si>
  <si>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</si>
  <si>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</si>
  <si>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</si>
  <si>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</si>
  <si>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</si>
  <si>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</si>
  <si>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</si>
  <si>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</si>
  <si>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</si>
  <si>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</si>
  <si>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</si>
  <si>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</si>
  <si>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</si>
  <si>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</si>
  <si>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</si>
  <si>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</si>
  <si>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</si>
  <si>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</si>
  <si>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</si>
  <si>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</si>
  <si>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</si>
  <si>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</si>
  <si>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</si>
  <si>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</si>
  <si>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</si>
  <si>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</si>
  <si>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</si>
  <si>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</si>
  <si>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</si>
  <si>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</si>
  <si>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</si>
  <si>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</si>
  <si>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</si>
  <si>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</si>
  <si>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</si>
  <si>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</si>
  <si>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</si>
  <si>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</si>
  <si>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</si>
  <si>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</si>
  <si>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</si>
  <si>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</si>
  <si>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</si>
  <si>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</si>
  <si>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</si>
  <si>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</si>
  <si>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</si>
  <si>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</si>
  <si>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</si>
  <si>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</si>
  <si>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</si>
  <si>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</si>
  <si>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</si>
  <si>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</si>
  <si>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</si>
  <si>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</si>
  <si>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</si>
  <si>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</si>
  <si>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</si>
  <si>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</si>
  <si>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</si>
  <si>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</si>
  <si>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</si>
  <si>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</si>
  <si>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</si>
  <si>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</si>
  <si>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</si>
  <si>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</si>
  <si>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</si>
  <si>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</si>
  <si>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</si>
  <si>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</si>
  <si>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</si>
  <si>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</si>
  <si>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</si>
  <si>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</si>
  <si>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</si>
  <si>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</si>
  <si>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</si>
  <si>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</si>
  <si>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</si>
  <si>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</si>
  <si>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</si>
  <si>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</si>
  <si>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</si>
  <si>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</si>
  <si>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</si>
  <si>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</si>
  <si>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</si>
  <si>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</si>
  <si>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</si>
  <si>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</si>
  <si>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</si>
  <si>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</si>
  <si>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</si>
  <si>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</si>
  <si>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</si>
  <si>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</si>
  <si>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</si>
  <si>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</si>
  <si>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</si>
  <si>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</si>
  <si>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</si>
  <si>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</si>
  <si>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</si>
  <si>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</si>
  <si>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</si>
  <si>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</si>
  <si>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</si>
  <si>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</si>
  <si>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</si>
  <si>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</si>
  <si>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</si>
  <si>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</si>
  <si>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</si>
  <si>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</si>
  <si>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</si>
  <si>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</si>
  <si>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</si>
  <si>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</si>
  <si>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</si>
  <si>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</si>
  <si>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</si>
  <si>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</si>
  <si>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</si>
  <si>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</si>
  <si>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</si>
  <si>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</si>
  <si>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</si>
  <si>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</si>
  <si>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</si>
  <si>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</si>
  <si>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</si>
  <si>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</si>
  <si>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</si>
  <si>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</si>
  <si>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</si>
  <si>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</si>
  <si>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</si>
  <si>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</si>
  <si>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</si>
  <si>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</si>
  <si>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</si>
  <si>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</si>
  <si>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</si>
  <si>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</si>
  <si>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</si>
  <si>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</si>
  <si>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</si>
  <si>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</si>
  <si>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</si>
  <si>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</si>
  <si>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</si>
  <si>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</si>
  <si>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</si>
  <si>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</si>
  <si>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</si>
  <si>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</si>
  <si>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</si>
  <si>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</si>
  <si>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</si>
  <si>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</si>
  <si>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</si>
  <si>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</si>
  <si>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</si>
  <si>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</si>
  <si>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</si>
  <si>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</si>
  <si>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</si>
  <si>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</si>
  <si>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</si>
  <si>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</si>
  <si>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</si>
  <si>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</si>
  <si>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</si>
  <si>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</si>
  <si>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</si>
  <si>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</si>
  <si>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</si>
  <si>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</si>
  <si>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</si>
  <si>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</si>
  <si>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</si>
  <si>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</si>
  <si>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</si>
  <si>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</si>
  <si>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</si>
  <si>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</si>
  <si>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</si>
  <si>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</si>
  <si>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</si>
  <si>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</si>
  <si>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</si>
  <si>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</si>
  <si>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</si>
  <si>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</si>
  <si>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</si>
  <si>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</si>
  <si>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</si>
  <si>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</si>
  <si>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</si>
  <si>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</si>
  <si>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</si>
  <si>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</si>
  <si>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</si>
  <si>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</si>
  <si>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</si>
  <si>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</si>
  <si>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</si>
  <si>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</si>
  <si>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</si>
  <si>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</si>
  <si>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</si>
  <si>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</si>
  <si>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</si>
  <si>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</si>
  <si>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</si>
  <si>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</si>
  <si>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</si>
  <si>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</si>
  <si>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</si>
  <si>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</si>
  <si>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</si>
  <si>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</si>
  <si>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</si>
  <si>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</si>
  <si>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</si>
  <si>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</si>
  <si>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</si>
  <si>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</si>
  <si>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</si>
  <si>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</si>
  <si>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</si>
  <si>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</si>
  <si>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</si>
  <si>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</si>
  <si>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</si>
  <si>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</si>
  <si>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</si>
  <si>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</si>
  <si>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</si>
  <si>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</si>
  <si>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</si>
  <si>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</si>
  <si>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</si>
  <si>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</si>
  <si>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</si>
  <si>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</si>
  <si>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</si>
  <si>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</si>
  <si>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</si>
  <si>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</si>
  <si>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</si>
  <si>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</si>
  <si>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</si>
  <si>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</si>
  <si>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</si>
  <si>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</si>
  <si>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</si>
  <si>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</si>
  <si>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</si>
  <si>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</si>
  <si>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</si>
  <si>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</si>
  <si>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</si>
  <si>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</si>
  <si>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</si>
  <si>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</si>
  <si>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</si>
  <si>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</si>
  <si>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</si>
  <si>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</si>
  <si>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</si>
  <si>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</si>
  <si>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</si>
  <si>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</si>
  <si>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</si>
  <si>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</si>
  <si>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</si>
  <si>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</si>
  <si>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</si>
  <si>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</si>
  <si>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</si>
  <si>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</si>
  <si>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</si>
  <si>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</si>
  <si>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</si>
  <si>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</si>
  <si>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</si>
  <si>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</si>
  <si>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</si>
  <si>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</si>
  <si>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</si>
  <si>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</si>
  <si>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</si>
  <si>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</si>
  <si>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</si>
  <si>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</si>
  <si>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</si>
  <si>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</si>
  <si>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</si>
  <si>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</si>
  <si>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</si>
  <si>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</si>
  <si>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</si>
  <si>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</si>
  <si>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</si>
  <si>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</si>
  <si>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</si>
  <si>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</si>
  <si>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</si>
  <si>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</si>
  <si>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</si>
  <si>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</si>
  <si>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</si>
  <si>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</si>
  <si>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</si>
  <si>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</si>
  <si>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</si>
  <si>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</si>
  <si>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</si>
  <si>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</si>
  <si>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</si>
  <si>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</si>
  <si>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</si>
  <si>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</si>
  <si>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</si>
  <si>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</si>
  <si>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</si>
  <si>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</si>
  <si>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</si>
  <si>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</si>
  <si>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</si>
  <si>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</si>
  <si>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</si>
  <si>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</si>
  <si>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</si>
  <si>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</si>
  <si>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</si>
  <si>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</si>
  <si>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</si>
  <si>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</si>
  <si>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</si>
  <si>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</si>
  <si>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</si>
  <si>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</si>
  <si>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</si>
  <si>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</si>
  <si>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</si>
  <si>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</si>
  <si>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</si>
  <si>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</si>
  <si>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</si>
  <si>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</si>
  <si>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</si>
  <si>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</si>
  <si>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</si>
  <si>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</si>
  <si>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</si>
  <si>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</si>
  <si>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</si>
  <si>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</si>
  <si>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</si>
  <si>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</si>
  <si>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</si>
  <si>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</si>
  <si>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</si>
  <si>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</si>
  <si>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</si>
  <si>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</si>
  <si>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</si>
  <si>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</si>
  <si>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</si>
  <si>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</si>
  <si>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</si>
  <si>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</si>
  <si>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</si>
  <si>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</si>
  <si>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</si>
  <si>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</si>
  <si>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</si>
  <si>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</si>
  <si>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</si>
  <si>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</si>
  <si>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</si>
  <si>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</si>
  <si>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</si>
  <si>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</si>
  <si>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</si>
  <si>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</si>
  <si>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</si>
  <si>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</si>
  <si>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</si>
  <si>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</si>
  <si>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</si>
  <si>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</si>
  <si>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</si>
  <si>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</si>
  <si>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</si>
  <si>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</si>
  <si>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</si>
  <si>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</si>
  <si>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</si>
  <si>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</si>
  <si>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</si>
  <si>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</si>
  <si>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</si>
  <si>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</si>
  <si>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</si>
  <si>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</si>
  <si>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</si>
  <si>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</si>
  <si>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</si>
  <si>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</si>
  <si>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</si>
  <si>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</si>
  <si>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</si>
  <si>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</si>
  <si>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</si>
  <si>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</si>
  <si>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</si>
  <si>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</si>
  <si>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</si>
  <si>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</si>
  <si>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</si>
  <si>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</si>
  <si>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</si>
  <si>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</si>
  <si>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</si>
  <si>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</si>
  <si>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</si>
  <si>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</si>
  <si>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</si>
  <si>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</si>
  <si>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</si>
  <si>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</si>
  <si>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</si>
  <si>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</si>
  <si>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</si>
  <si>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</si>
  <si>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</si>
  <si>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</si>
  <si>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</si>
  <si>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</si>
  <si>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</si>
  <si>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</si>
  <si>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</si>
  <si>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</si>
  <si>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</si>
  <si>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</si>
  <si>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</si>
  <si>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</si>
  <si>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</si>
  <si>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</si>
  <si>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</si>
  <si>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</si>
  <si>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</si>
  <si>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</si>
  <si>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</si>
  <si>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</si>
  <si>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</si>
  <si>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</si>
  <si>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</si>
  <si>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</si>
  <si>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</si>
  <si>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</si>
  <si>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</si>
  <si>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</si>
  <si>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</si>
  <si>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</si>
  <si>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</si>
  <si>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</si>
  <si>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</si>
  <si>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</si>
  <si>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</si>
  <si>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</si>
  <si>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</si>
  <si>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</si>
  <si>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</si>
  <si>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</si>
  <si>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</si>
  <si>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</si>
  <si>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</si>
  <si>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</si>
  <si>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</si>
  <si>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</si>
  <si>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</si>
  <si>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</si>
  <si>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</si>
  <si>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</si>
  <si>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</si>
  <si>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</si>
  <si>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</si>
  <si>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</si>
  <si>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</si>
  <si>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</si>
  <si>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</si>
  <si>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</si>
  <si>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</si>
  <si>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</si>
  <si>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</si>
  <si>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</si>
  <si>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</si>
  <si>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</si>
  <si>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</si>
  <si>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</si>
  <si>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</si>
  <si>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</si>
  <si>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</si>
  <si>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</si>
  <si>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</si>
  <si>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</si>
  <si>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</si>
  <si>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</si>
  <si>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</si>
  <si>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</si>
  <si>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</si>
  <si>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</si>
  <si>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</si>
  <si>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</si>
  <si>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</si>
  <si>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</si>
  <si>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</si>
  <si>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</si>
  <si>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</si>
  <si>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</si>
  <si>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</si>
  <si>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</si>
  <si>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</si>
  <si>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</si>
  <si>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</si>
  <si>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</si>
  <si>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</si>
  <si>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</si>
  <si>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</si>
  <si>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</si>
  <si>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</si>
  <si>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</si>
  <si>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</si>
  <si>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</si>
  <si>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</si>
  <si>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</si>
  <si>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</si>
  <si>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</si>
  <si>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</si>
  <si>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</si>
  <si>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</si>
  <si>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</si>
  <si>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</si>
  <si>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</si>
  <si>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</si>
  <si>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</si>
  <si>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</si>
  <si>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</si>
  <si>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</si>
  <si>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</si>
  <si>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</si>
  <si>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</si>
  <si>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</si>
  <si>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</si>
  <si>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</si>
  <si>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</si>
  <si>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</si>
  <si>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</si>
  <si>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</si>
  <si>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</si>
  <si>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</si>
  <si>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</si>
  <si>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</si>
  <si>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</si>
  <si>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</si>
  <si>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</si>
  <si>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</si>
  <si>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</si>
  <si>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</si>
  <si>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</si>
  <si>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</si>
  <si>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</si>
  <si>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</si>
  <si>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</si>
  <si>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</si>
  <si>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</si>
  <si>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</si>
  <si>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</si>
  <si>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</si>
  <si>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</si>
  <si>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</si>
  <si>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</si>
  <si>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</si>
  <si>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</si>
  <si>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</si>
  <si>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</si>
  <si>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</si>
  <si>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</si>
  <si>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</si>
  <si>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</si>
  <si>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</si>
  <si>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</si>
  <si>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</si>
  <si>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</si>
  <si>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</si>
  <si>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</si>
  <si>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</si>
  <si>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</si>
  <si>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</si>
  <si>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</si>
  <si>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</si>
  <si>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</si>
  <si>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</si>
  <si>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</si>
  <si>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</si>
  <si>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</si>
  <si>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</si>
  <si>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</si>
  <si>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</si>
  <si>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</si>
  <si>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</si>
  <si>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</si>
  <si>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</si>
  <si>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</si>
  <si>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</si>
  <si>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</si>
  <si>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</si>
  <si>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</si>
  <si>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</si>
  <si>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</si>
  <si>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</si>
  <si>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</si>
  <si>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</si>
  <si>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</si>
  <si>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</si>
  <si>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</si>
  <si>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</si>
  <si>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</si>
  <si>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</si>
  <si>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</si>
  <si>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</si>
  <si>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</si>
  <si>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</si>
  <si>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</si>
  <si>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</si>
  <si>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</si>
  <si>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</si>
  <si>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</si>
  <si>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</si>
  <si>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</si>
  <si>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</si>
  <si>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</si>
  <si>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</si>
  <si>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</si>
  <si>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</si>
  <si>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</si>
  <si>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</si>
  <si>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</si>
  <si>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</si>
  <si>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</si>
  <si>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</si>
  <si>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</si>
  <si>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</si>
  <si>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</si>
  <si>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</si>
  <si>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</si>
  <si>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</si>
  <si>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</si>
  <si>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</si>
  <si>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</si>
  <si>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</si>
  <si>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</si>
  <si>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</si>
  <si>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</si>
  <si>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</si>
  <si>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</si>
  <si>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</si>
  <si>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</si>
  <si>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</si>
  <si>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</si>
  <si>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</si>
  <si>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</si>
  <si>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</si>
  <si>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</si>
  <si>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</si>
  <si>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</si>
  <si>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</si>
  <si>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</si>
  <si>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</si>
  <si>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</si>
  <si>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</si>
  <si>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</si>
  <si>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</si>
  <si>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</si>
  <si>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</si>
  <si>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</si>
  <si>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</si>
  <si>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</si>
  <si>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</si>
  <si>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</si>
  <si>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</si>
  <si>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</si>
  <si>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</si>
  <si>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</si>
  <si>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</si>
  <si>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</si>
  <si>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</si>
  <si>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</si>
  <si>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</si>
  <si>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</si>
  <si>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</si>
  <si>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</si>
  <si>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</si>
  <si>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</si>
  <si>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</si>
  <si>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</si>
  <si>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</si>
  <si>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</si>
  <si>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</si>
  <si>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</si>
  <si>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</si>
  <si>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</si>
  <si>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</si>
  <si>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</si>
  <si>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</si>
  <si>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</si>
  <si>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</si>
  <si>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</si>
  <si>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</si>
  <si>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</si>
  <si>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</si>
  <si>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</si>
  <si>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</si>
  <si>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</si>
  <si>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</si>
  <si>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</si>
  <si>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</si>
  <si>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</si>
  <si>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</si>
  <si>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</si>
  <si>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</si>
  <si>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</si>
  <si>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</si>
  <si>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</si>
  <si>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</si>
  <si>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</si>
  <si>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</si>
  <si>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</si>
  <si>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</si>
  <si>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</si>
  <si>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</si>
  <si>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</si>
  <si>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</si>
  <si>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</si>
  <si>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</si>
  <si>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</si>
  <si>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</si>
  <si>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</si>
  <si>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</si>
  <si>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</si>
  <si>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</si>
  <si>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</si>
  <si>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</si>
  <si>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</si>
  <si>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</si>
  <si>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</si>
  <si>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</si>
  <si>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</si>
  <si>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</si>
  <si>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</si>
  <si>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</si>
  <si>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</si>
  <si>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</si>
  <si>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</si>
  <si>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</si>
  <si>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</si>
  <si>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</si>
  <si>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</si>
  <si>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</si>
  <si>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</si>
  <si>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</si>
  <si>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</si>
  <si>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</si>
  <si>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</si>
  <si>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</si>
  <si>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</si>
  <si>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</si>
  <si>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</si>
  <si>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</si>
  <si>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</si>
  <si>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</si>
  <si>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</si>
  <si>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</si>
  <si>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</si>
  <si>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</si>
  <si>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</si>
  <si>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</si>
  <si>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</si>
  <si>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</si>
  <si>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</si>
  <si>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</si>
  <si>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</si>
  <si>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</si>
  <si>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</si>
  <si>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</si>
  <si>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</si>
  <si>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</si>
  <si>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</si>
  <si>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</si>
  <si>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</si>
  <si>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</si>
  <si>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</si>
  <si>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</si>
  <si>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</si>
  <si>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</si>
  <si>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</si>
  <si>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</si>
  <si>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</si>
  <si>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</si>
  <si>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</si>
  <si>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</si>
  <si>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</si>
  <si>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</si>
  <si>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</si>
  <si>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</si>
  <si>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</si>
  <si>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</si>
  <si>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</si>
  <si>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</si>
  <si>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</si>
  <si>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</si>
  <si>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</si>
  <si>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</si>
  <si>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</si>
  <si>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</si>
  <si>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</si>
  <si>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</si>
  <si>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</si>
  <si>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</si>
  <si>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</si>
  <si>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</si>
  <si>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</si>
  <si>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</si>
  <si>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</si>
  <si>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</si>
  <si>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</si>
  <si>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</si>
  <si>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</si>
  <si>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</si>
  <si>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</si>
  <si>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</si>
  <si>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</si>
  <si>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</si>
  <si>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</si>
  <si>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</si>
  <si>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</si>
  <si>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</si>
  <si>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</si>
  <si>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</si>
  <si>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</si>
  <si>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</si>
  <si>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</si>
  <si>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</si>
  <si>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</si>
  <si>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</si>
  <si>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</si>
  <si>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</si>
  <si>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</si>
  <si>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</si>
  <si>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</si>
  <si>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</si>
  <si>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</si>
  <si>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</si>
  <si>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</si>
  <si>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</si>
  <si>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</si>
  <si>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</si>
  <si>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</si>
  <si>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</si>
  <si>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</si>
  <si>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</si>
  <si>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</si>
  <si>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</si>
  <si>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</si>
  <si>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</si>
  <si>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</si>
  <si>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</si>
  <si>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</si>
  <si>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</si>
  <si>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</si>
  <si>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</si>
  <si>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</si>
  <si>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</si>
  <si>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</si>
  <si>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</si>
  <si>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</si>
  <si>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</si>
  <si>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</si>
  <si>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</si>
  <si>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</si>
  <si>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</si>
  <si>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</si>
  <si>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</si>
  <si>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</si>
  <si>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</si>
  <si>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</si>
  <si>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</si>
  <si>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</si>
  <si>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</si>
  <si>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</si>
  <si>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</si>
  <si>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</si>
  <si>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</si>
  <si>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</si>
  <si>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</si>
  <si>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</si>
  <si>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</si>
  <si>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</si>
  <si>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</si>
  <si>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</si>
  <si>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</si>
  <si>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</si>
  <si>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</si>
  <si>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</si>
  <si>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</si>
  <si>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</si>
  <si>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</si>
  <si>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</si>
  <si>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</si>
  <si>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</si>
  <si>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</si>
  <si>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</si>
  <si>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</si>
  <si>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</si>
  <si>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</si>
  <si>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</si>
  <si>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</si>
  <si>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</si>
  <si>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</si>
  <si>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</si>
  <si>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</si>
  <si>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</si>
  <si>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</si>
  <si>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</si>
  <si>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</si>
  <si>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</si>
  <si>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</si>
  <si>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</si>
  <si>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</si>
  <si>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</si>
  <si>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</si>
  <si>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</si>
  <si>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</si>
  <si>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</si>
  <si>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</si>
  <si>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</si>
  <si>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</si>
  <si>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</si>
  <si>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</si>
  <si>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</si>
  <si>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</si>
  <si>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</si>
  <si>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</si>
  <si>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</si>
  <si>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</si>
  <si>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</si>
  <si>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</si>
  <si>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</si>
  <si>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</si>
  <si>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</si>
  <si>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</si>
  <si>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</si>
  <si>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</si>
  <si>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</si>
  <si>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</si>
  <si>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</si>
  <si>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</si>
  <si>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</si>
  <si>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</si>
  <si>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</si>
  <si>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</si>
  <si>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</si>
  <si>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</si>
  <si>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</si>
  <si>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</si>
  <si>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</si>
  <si>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</si>
  <si>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</si>
  <si>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</si>
  <si>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</si>
  <si>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</si>
  <si>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</si>
  <si>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</si>
  <si>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</si>
  <si>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</si>
  <si>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</si>
  <si>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</si>
  <si>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</si>
  <si>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</si>
  <si>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</si>
  <si>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</si>
  <si>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</si>
  <si>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</si>
  <si>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</si>
  <si>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</si>
  <si>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</si>
  <si>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</si>
  <si>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</si>
  <si>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</si>
  <si>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</si>
  <si>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</si>
  <si>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</si>
  <si>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</si>
  <si>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</si>
  <si>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</si>
  <si>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</si>
  <si>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</si>
  <si>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</si>
  <si>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</si>
  <si>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</si>
  <si>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</si>
  <si>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</si>
  <si>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</si>
  <si>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</si>
  <si>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</si>
  <si>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</si>
  <si>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</si>
  <si>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</si>
  <si>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</si>
  <si>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</si>
  <si>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</si>
  <si>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</si>
  <si>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</si>
  <si>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</si>
  <si>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</si>
  <si>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</si>
  <si>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</si>
  <si>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</si>
  <si>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</si>
  <si>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</si>
  <si>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</si>
  <si>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</si>
  <si>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</si>
  <si>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</si>
  <si>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</si>
  <si>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</si>
  <si>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</si>
  <si>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</si>
  <si>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</si>
  <si>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</si>
  <si>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</si>
  <si>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</si>
  <si>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</si>
  <si>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</si>
  <si>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</si>
  <si>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</si>
  <si>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</si>
  <si>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</si>
  <si>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</si>
  <si>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</si>
  <si>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</si>
  <si>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</si>
  <si>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</si>
  <si>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</si>
  <si>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</si>
  <si>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</si>
  <si>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</si>
  <si>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</si>
  <si>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</si>
  <si>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</si>
  <si>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</si>
  <si>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</si>
  <si>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</si>
  <si>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</si>
  <si>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</si>
  <si>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</si>
  <si>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</si>
  <si>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</si>
  <si>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</si>
  <si>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</si>
  <si>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</si>
  <si>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</si>
  <si>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</si>
  <si>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</si>
  <si>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</si>
  <si>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</si>
  <si>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</si>
  <si>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</si>
  <si>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</si>
  <si>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</si>
  <si>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</si>
  <si>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</si>
  <si>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</si>
  <si>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</si>
  <si>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</si>
  <si>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</si>
  <si>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</si>
  <si>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</si>
  <si>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</si>
  <si>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</si>
  <si>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</si>
  <si>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</si>
  <si>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</si>
  <si>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</si>
  <si>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</si>
  <si>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</si>
  <si>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</si>
  <si>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</si>
  <si>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</si>
  <si>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</si>
  <si>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</si>
  <si>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</si>
  <si>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</si>
  <si>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</si>
  <si>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</si>
  <si>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</si>
  <si>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</si>
  <si>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</si>
  <si>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</si>
  <si>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</si>
  <si>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</si>
  <si>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</si>
  <si>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</si>
  <si>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</si>
  <si>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</si>
  <si>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</si>
  <si>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</si>
  <si>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</si>
  <si>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</si>
  <si>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</si>
  <si>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</si>
  <si>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</si>
  <si>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</si>
  <si>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</si>
  <si>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</si>
  <si>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</si>
  <si>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</si>
  <si>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</si>
  <si>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</si>
  <si>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</si>
  <si>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</si>
  <si>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</si>
  <si>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</si>
  <si>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</si>
  <si>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</si>
  <si>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</si>
  <si>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</si>
  <si>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</si>
  <si>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</si>
  <si>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</si>
  <si>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</si>
  <si>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</si>
  <si>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</si>
  <si>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</si>
  <si>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</si>
  <si>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</si>
  <si>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</si>
  <si>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</si>
  <si>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</si>
  <si>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</si>
  <si>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</si>
  <si>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</si>
  <si>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</si>
  <si>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</si>
  <si>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</si>
  <si>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</si>
  <si>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</si>
  <si>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</si>
  <si>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</si>
  <si>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</si>
  <si>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</si>
  <si>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</si>
  <si>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</si>
  <si>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</si>
  <si>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</si>
  <si>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</si>
  <si>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</si>
  <si>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</si>
  <si>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</si>
  <si>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</si>
  <si>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</si>
  <si>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</si>
  <si>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</si>
  <si>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</si>
  <si>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</si>
  <si>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</si>
  <si>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</si>
  <si>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</si>
  <si>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</si>
  <si>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</si>
  <si>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</si>
  <si>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</si>
  <si>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</si>
  <si>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</si>
  <si>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</si>
  <si>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</si>
  <si>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</si>
  <si>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</si>
  <si>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</si>
  <si>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</si>
  <si>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</si>
  <si>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</si>
  <si>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</si>
  <si>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</si>
  <si>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</si>
  <si>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</si>
  <si>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</si>
  <si>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</si>
  <si>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</si>
  <si>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</si>
  <si>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</si>
  <si>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</si>
  <si>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</si>
  <si>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</si>
  <si>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</si>
  <si>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</si>
  <si>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</si>
  <si>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</si>
  <si>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</si>
  <si>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</si>
  <si>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</si>
  <si>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</si>
  <si>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</si>
  <si>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</si>
  <si>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</si>
  <si>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</si>
  <si>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</si>
  <si>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</si>
  <si>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</si>
  <si>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</si>
  <si>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</si>
  <si>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</si>
  <si>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</si>
  <si>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</si>
  <si>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</si>
  <si>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</si>
  <si>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</si>
  <si>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</si>
  <si>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</si>
  <si>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</si>
  <si>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</si>
  <si>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</si>
  <si>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</si>
  <si>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</si>
  <si>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</si>
  <si>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</si>
  <si>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</si>
  <si>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</si>
  <si>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</si>
  <si>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</si>
  <si>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</si>
  <si>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</si>
  <si>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</si>
  <si>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</si>
  <si>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</si>
  <si>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</si>
  <si>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</si>
  <si>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</si>
  <si>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</si>
  <si>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</si>
  <si>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</si>
  <si>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</si>
  <si>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</si>
  <si>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</si>
  <si>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</si>
  <si>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</si>
  <si>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</si>
  <si>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</si>
  <si>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</si>
  <si>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</si>
  <si>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</si>
  <si>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</si>
  <si>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</si>
  <si>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</si>
  <si>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</si>
  <si>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</si>
  <si>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</si>
  <si>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</si>
  <si>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</si>
  <si>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</si>
  <si>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</si>
  <si>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</si>
  <si>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</si>
  <si>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</si>
  <si>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</si>
  <si>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</si>
  <si>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</si>
  <si>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</si>
  <si>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</si>
  <si>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</si>
  <si>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</si>
  <si>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</si>
  <si>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</si>
  <si>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</si>
  <si>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</si>
  <si>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</si>
  <si>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</si>
  <si>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</si>
  <si>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</si>
  <si>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</si>
  <si>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</si>
  <si>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</si>
  <si>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</si>
  <si>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</si>
  <si>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</si>
  <si>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</si>
  <si>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</si>
  <si>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</si>
  <si>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</si>
  <si>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</si>
  <si>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</si>
  <si>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</si>
  <si>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</si>
  <si>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</si>
  <si>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</si>
  <si>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</si>
  <si>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</si>
  <si>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</si>
  <si>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</si>
  <si>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</si>
  <si>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</si>
  <si>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</si>
  <si>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</si>
  <si>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</si>
  <si>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</si>
  <si>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</si>
  <si>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</si>
  <si>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</si>
  <si>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</si>
  <si>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</si>
  <si>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</si>
  <si>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</si>
  <si>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</si>
  <si>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</si>
  <si>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</si>
  <si>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</si>
  <si>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</si>
  <si>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</si>
  <si>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</si>
  <si>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</si>
  <si>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</si>
  <si>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</si>
  <si>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</si>
  <si>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</si>
  <si>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</si>
  <si>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</si>
  <si>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</si>
  <si>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</si>
  <si>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</si>
  <si>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</si>
  <si>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</si>
  <si>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</si>
  <si>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</si>
  <si>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</si>
  <si>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</si>
  <si>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</si>
  <si>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</si>
  <si>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</si>
  <si>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</si>
  <si>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</si>
  <si>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</si>
  <si>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</si>
  <si>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</si>
  <si>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</si>
  <si>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</si>
  <si>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</si>
  <si>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</si>
  <si>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</si>
  <si>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</si>
  <si>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</si>
  <si>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</si>
  <si>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</si>
  <si>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</si>
  <si>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</si>
  <si>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</si>
  <si>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</si>
  <si>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</si>
  <si>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</si>
  <si>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</si>
  <si>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</si>
  <si>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</si>
  <si>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</si>
  <si>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</si>
  <si>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</si>
  <si>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</si>
  <si>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</si>
  <si>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</si>
  <si>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</si>
  <si>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</si>
  <si>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</si>
  <si>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</si>
  <si>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</si>
  <si>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</si>
  <si>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</si>
  <si>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</si>
  <si>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</si>
  <si>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</si>
  <si>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</si>
  <si>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</si>
  <si>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</si>
  <si>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</si>
  <si>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</si>
  <si>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</si>
  <si>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</si>
  <si>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</si>
  <si>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</si>
  <si>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</si>
  <si>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</si>
  <si>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</si>
  <si>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</si>
  <si>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</si>
  <si>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</si>
  <si>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</si>
  <si>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</si>
  <si>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</si>
  <si>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</si>
  <si>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</si>
  <si>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</si>
  <si>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</si>
  <si>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</si>
  <si>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</si>
  <si>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</si>
  <si>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</si>
  <si>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</si>
  <si>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</si>
  <si>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</si>
  <si>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</si>
  <si>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</si>
  <si>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</si>
  <si>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</si>
  <si>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</si>
  <si>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</si>
  <si>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</si>
  <si>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</si>
  <si>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</si>
  <si>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</si>
  <si>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</si>
  <si>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</si>
  <si>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</si>
  <si>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</si>
  <si>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</si>
  <si>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</si>
  <si>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</si>
  <si>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</si>
  <si>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</si>
  <si>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</si>
  <si>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</si>
  <si>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</si>
  <si>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</si>
  <si>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</si>
  <si>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</si>
  <si>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</si>
  <si>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</si>
  <si>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</si>
  <si>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</si>
  <si>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</si>
  <si>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</si>
  <si>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</si>
  <si>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</si>
  <si>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</si>
  <si>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</si>
  <si>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</si>
  <si>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</si>
  <si>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</si>
  <si>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</si>
  <si>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</si>
  <si>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</si>
  <si>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</si>
  <si>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</si>
  <si>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</si>
  <si>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</si>
  <si>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</si>
  <si>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</si>
  <si>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</si>
  <si>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</si>
  <si>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</si>
  <si>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</si>
  <si>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</si>
  <si>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</si>
  <si>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</si>
  <si>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</si>
  <si>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</si>
  <si>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</si>
  <si>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</si>
  <si>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</si>
  <si>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</si>
  <si>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</si>
  <si>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</si>
  <si>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</si>
  <si>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</si>
  <si>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</si>
  <si>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</si>
  <si>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</si>
  <si>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</si>
  <si>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</si>
  <si>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</si>
  <si>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</si>
  <si>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</si>
  <si>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</si>
  <si>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</si>
  <si>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</si>
  <si>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</si>
  <si>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</si>
  <si>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</si>
  <si>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</si>
  <si>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</si>
  <si>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</si>
  <si>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</si>
  <si>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</si>
  <si>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</si>
  <si>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</si>
  <si>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</si>
  <si>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</si>
  <si>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</si>
  <si>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</si>
  <si>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</si>
  <si>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</si>
  <si>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</si>
  <si>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</si>
  <si>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</si>
  <si>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</si>
  <si>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</si>
  <si>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</si>
  <si>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</si>
  <si>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</si>
  <si>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</si>
  <si>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</si>
  <si>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</si>
  <si>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</si>
  <si>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</si>
  <si>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</si>
  <si>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</si>
  <si>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</si>
  <si>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</si>
  <si>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</si>
  <si>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</si>
  <si>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</si>
  <si>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</si>
  <si>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</si>
  <si>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</si>
  <si>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</si>
  <si>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</si>
  <si>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</si>
  <si>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</si>
  <si>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</si>
  <si>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</si>
  <si>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</si>
  <si>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</si>
  <si>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</si>
  <si>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</si>
  <si>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</si>
  <si>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</si>
  <si>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</si>
  <si>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</si>
  <si>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</si>
  <si>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</si>
  <si>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</si>
  <si>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</si>
  <si>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</si>
  <si>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</si>
  <si>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</si>
  <si>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</si>
  <si>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</si>
  <si>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</si>
  <si>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</si>
  <si>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</si>
  <si>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</si>
  <si>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</si>
  <si>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</si>
  <si>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</si>
  <si>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</si>
  <si>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</si>
  <si>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</si>
  <si>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</si>
  <si>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</si>
  <si>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</si>
  <si>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</si>
  <si>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</si>
  <si>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</si>
  <si>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</si>
  <si>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</si>
  <si>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</si>
  <si>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</si>
  <si>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</si>
  <si>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</si>
  <si>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</si>
  <si>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</si>
  <si>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</si>
  <si>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</si>
  <si>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</si>
  <si>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</si>
  <si>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</si>
  <si>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</si>
  <si>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</si>
  <si>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</si>
  <si>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</si>
  <si>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</si>
  <si>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</si>
  <si>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</si>
  <si>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</si>
  <si>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</si>
  <si>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</si>
  <si>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</si>
  <si>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</si>
  <si>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</si>
  <si>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</si>
  <si>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</si>
  <si>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</si>
  <si>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</si>
  <si>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</si>
  <si>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</si>
  <si>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</si>
  <si>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</si>
  <si>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</si>
  <si>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</si>
  <si>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</si>
  <si>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</si>
  <si>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</si>
  <si>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</si>
  <si>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</si>
  <si>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</si>
  <si>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</si>
  <si>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</si>
  <si>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</si>
  <si>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</si>
  <si>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</si>
  <si>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</si>
  <si>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</si>
  <si>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</si>
  <si>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</si>
  <si>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</si>
  <si>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</si>
  <si>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</si>
  <si>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</si>
  <si>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</si>
  <si>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</si>
  <si>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</si>
  <si>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</si>
  <si>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</si>
  <si>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</si>
  <si>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</si>
  <si>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</si>
  <si>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</si>
  <si>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</si>
  <si>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</si>
  <si>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</si>
  <si>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</si>
  <si>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</si>
  <si>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</si>
  <si>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</si>
  <si>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</si>
  <si>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</si>
  <si>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</si>
  <si>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</si>
  <si>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</si>
  <si>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</si>
  <si>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</si>
  <si>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</si>
  <si>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</si>
  <si>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</si>
  <si>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</si>
  <si>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</si>
  <si>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</si>
  <si>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</si>
  <si>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</si>
  <si>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</si>
  <si>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</si>
  <si>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</si>
  <si>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</si>
  <si>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</si>
  <si>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</si>
  <si>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</si>
  <si>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</si>
  <si>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</si>
  <si>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</si>
  <si>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</si>
  <si>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</si>
  <si>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</si>
  <si>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</si>
  <si>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</si>
  <si>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</si>
  <si>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</si>
  <si>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</si>
  <si>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</si>
  <si>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</si>
  <si>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</si>
  <si>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</si>
  <si>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</si>
  <si>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</si>
  <si>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</si>
  <si>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</si>
  <si>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</si>
  <si>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</si>
  <si>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</si>
  <si>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</si>
  <si>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</si>
  <si>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</si>
  <si>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</si>
  <si>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</si>
  <si>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</si>
  <si>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</si>
  <si>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</si>
  <si>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</si>
  <si>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</si>
  <si>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</si>
  <si>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</si>
  <si>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</si>
  <si>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</si>
  <si>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</si>
  <si>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</si>
  <si>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</si>
  <si>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</si>
  <si>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</si>
  <si>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</si>
  <si>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</si>
  <si>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</si>
  <si>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</si>
  <si>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</si>
  <si>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</si>
  <si>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</si>
  <si>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</si>
  <si>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</si>
  <si>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</si>
  <si>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</si>
  <si>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</si>
  <si>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</si>
  <si>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</si>
  <si>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</si>
  <si>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</si>
  <si>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</si>
  <si>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</si>
  <si>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</si>
  <si>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</si>
  <si>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</si>
  <si>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</si>
  <si>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</si>
  <si>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</si>
  <si>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</si>
  <si>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</si>
  <si>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</si>
  <si>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</si>
  <si>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</si>
  <si>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</si>
  <si>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</si>
  <si>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</si>
  <si>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</si>
  <si>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</si>
  <si>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</si>
  <si>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</si>
  <si>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</si>
  <si>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</si>
  <si>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</si>
  <si>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</si>
  <si>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</si>
  <si>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</si>
  <si>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</si>
  <si>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</si>
  <si>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</si>
  <si>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</si>
  <si>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</si>
  <si>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</si>
  <si>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</si>
  <si>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</si>
  <si>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</si>
  <si>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</si>
  <si>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</si>
  <si>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</si>
  <si>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</si>
  <si>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</si>
  <si>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</si>
  <si>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</si>
  <si>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</si>
  <si>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</si>
  <si>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</si>
  <si>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</si>
  <si>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</si>
  <si>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</si>
  <si>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</si>
  <si>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</si>
  <si>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</si>
  <si>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</si>
  <si>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</si>
  <si>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</si>
  <si>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</si>
  <si>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</si>
  <si>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</si>
  <si>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</si>
  <si>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</si>
  <si>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</si>
  <si>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</si>
  <si>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</si>
  <si>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</si>
  <si>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</si>
  <si>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</si>
  <si>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</si>
  <si>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</si>
  <si>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</si>
  <si>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</si>
  <si>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</si>
  <si>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</si>
  <si>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</si>
  <si>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</si>
  <si>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</si>
  <si>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</si>
  <si>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</si>
  <si>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</si>
  <si>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</si>
  <si>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</si>
  <si>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</si>
  <si>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</si>
  <si>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</si>
  <si>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</si>
  <si>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</si>
  <si>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</si>
  <si>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</si>
  <si>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</si>
  <si>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</si>
  <si>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</si>
  <si>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</si>
  <si>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</si>
  <si>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</si>
  <si>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</si>
  <si>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</si>
  <si>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</si>
  <si>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</si>
  <si>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</si>
  <si>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</si>
  <si>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</si>
  <si>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</si>
  <si>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</si>
  <si>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</si>
  <si>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</si>
  <si>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</si>
  <si>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</si>
  <si>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</si>
  <si>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</si>
  <si>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</si>
  <si>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</si>
  <si>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</si>
  <si>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</si>
  <si>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</si>
  <si>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</si>
  <si>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</si>
  <si>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</si>
  <si>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</si>
  <si>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</si>
  <si>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</si>
  <si>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</si>
  <si>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</si>
  <si>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</si>
  <si>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</si>
  <si>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</si>
  <si>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</si>
  <si>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</si>
  <si>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</si>
  <si>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</si>
  <si>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</si>
  <si>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</si>
  <si>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</si>
  <si>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</si>
  <si>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</si>
  <si>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</si>
  <si>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</si>
  <si>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</si>
  <si>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</si>
  <si>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</si>
  <si>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</si>
  <si>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</si>
  <si>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</si>
  <si>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</si>
  <si>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</si>
  <si>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</si>
  <si>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</si>
  <si>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</si>
  <si>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</si>
  <si>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</si>
  <si>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</si>
  <si>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</si>
  <si>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</si>
  <si>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</si>
  <si>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</si>
  <si>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</si>
  <si>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</si>
  <si>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</si>
  <si>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</si>
  <si>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</si>
  <si>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</si>
  <si>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</si>
  <si>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</si>
  <si>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</si>
  <si>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</si>
  <si>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</si>
  <si>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</si>
  <si>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</si>
  <si>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</si>
  <si>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</si>
  <si>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</si>
  <si>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</si>
  <si>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</si>
  <si>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</si>
  <si>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</si>
  <si>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</si>
  <si>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</si>
  <si>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</si>
  <si>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</si>
  <si>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</si>
  <si>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</si>
  <si>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</si>
  <si>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</si>
  <si>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</si>
  <si>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</si>
  <si>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</si>
  <si>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</si>
  <si>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</si>
  <si>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</si>
  <si>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</si>
  <si>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</si>
  <si>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</si>
  <si>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</si>
  <si>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</si>
  <si>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</si>
  <si>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</si>
  <si>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</si>
  <si>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</si>
  <si>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</si>
  <si>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</si>
  <si>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</si>
  <si>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</si>
  <si>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</si>
  <si>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</si>
  <si>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</si>
  <si>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</si>
  <si>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</si>
  <si>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</si>
  <si>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</si>
  <si>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</si>
  <si>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</si>
  <si>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</si>
  <si>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</si>
  <si>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</si>
  <si>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</si>
  <si>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</si>
  <si>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</si>
  <si>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</si>
  <si>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</si>
  <si>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</si>
  <si>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</si>
  <si>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</si>
  <si>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</si>
  <si>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</si>
  <si>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</si>
  <si>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</si>
  <si>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</si>
  <si>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</si>
  <si>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</si>
  <si>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</si>
  <si>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</si>
  <si>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</si>
  <si>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</si>
  <si>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</si>
  <si>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</si>
  <si>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</si>
  <si>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</si>
  <si>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</si>
  <si>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</si>
  <si>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</si>
  <si>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</si>
  <si>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</si>
  <si>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</si>
  <si>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</si>
  <si>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</si>
  <si>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</si>
  <si>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</si>
  <si>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</si>
  <si>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</si>
  <si>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</si>
  <si>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</si>
  <si>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</si>
  <si>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</si>
  <si>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</si>
  <si>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</si>
  <si>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</si>
  <si>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</si>
  <si>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</si>
  <si>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</si>
  <si>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</si>
  <si>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</si>
  <si>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</si>
  <si>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</si>
  <si>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</si>
  <si>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</si>
  <si>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</si>
  <si>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</si>
  <si>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</si>
  <si>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</si>
  <si>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</si>
  <si>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</si>
  <si>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</si>
  <si>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</si>
  <si>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</si>
  <si>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</si>
  <si>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</si>
  <si>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</si>
  <si>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</si>
  <si>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</si>
  <si>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</si>
  <si>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</si>
  <si>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</si>
  <si>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</si>
  <si>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</si>
  <si>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</si>
  <si>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</si>
  <si>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</si>
  <si>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</si>
  <si>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</si>
  <si>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</si>
  <si>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</si>
  <si>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</si>
  <si>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</si>
  <si>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</si>
  <si>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</si>
  <si>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</si>
  <si>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</si>
  <si>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</si>
  <si>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</si>
  <si>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</si>
  <si>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</si>
  <si>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</si>
  <si>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</si>
  <si>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</si>
  <si>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</si>
  <si>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</si>
  <si>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</si>
  <si>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</si>
  <si>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</si>
  <si>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</si>
  <si>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</si>
  <si>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</si>
  <si>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</si>
  <si>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</si>
  <si>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</si>
  <si>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</si>
  <si>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</si>
  <si>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</si>
  <si>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</si>
  <si>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</si>
  <si>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</si>
  <si>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</si>
  <si>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</si>
  <si>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</si>
  <si>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</si>
  <si>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</si>
  <si>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</si>
  <si>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</si>
  <si>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</si>
  <si>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</si>
  <si>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</si>
  <si>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</si>
  <si>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</si>
  <si>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</si>
  <si>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</si>
  <si>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</si>
  <si>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</si>
  <si>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</si>
  <si>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</si>
  <si>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</si>
  <si>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</si>
  <si>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</si>
  <si>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</si>
  <si>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</si>
  <si>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</si>
  <si>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</si>
  <si>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</si>
  <si>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</si>
  <si>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</si>
  <si>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</si>
  <si>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</si>
  <si>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</si>
  <si>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</si>
  <si>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</si>
  <si>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</si>
  <si>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</si>
  <si>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</si>
  <si>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</si>
  <si>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</si>
  <si>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</si>
  <si>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</si>
  <si>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</si>
  <si>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</si>
  <si>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</si>
  <si>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</si>
  <si>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</si>
  <si>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</si>
  <si>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</si>
  <si>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</si>
  <si>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</si>
  <si>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</si>
  <si>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</si>
  <si>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</si>
  <si>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</si>
  <si>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</si>
  <si>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</si>
  <si>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</si>
  <si>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</si>
  <si>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</si>
  <si>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</si>
  <si>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</si>
  <si>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</si>
  <si>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</si>
  <si>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</si>
  <si>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</si>
  <si>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</si>
  <si>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</si>
  <si>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</si>
  <si>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</si>
  <si>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</si>
  <si>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</si>
  <si>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</si>
  <si>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</si>
  <si>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</si>
  <si>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</si>
  <si>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</si>
  <si>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</si>
  <si>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</si>
  <si>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</si>
  <si>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</si>
  <si>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</si>
  <si>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</si>
  <si>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</si>
  <si>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</si>
  <si>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</si>
  <si>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</si>
  <si>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</si>
  <si>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</si>
  <si>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</si>
  <si>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</si>
  <si>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</si>
  <si>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</si>
  <si>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</si>
  <si>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</si>
  <si>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</si>
  <si>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</si>
  <si>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</si>
  <si>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</si>
  <si>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</si>
  <si>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</si>
  <si>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</si>
  <si>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</si>
  <si>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</si>
  <si>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</si>
  <si>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</si>
  <si>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</si>
  <si>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</si>
  <si>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</si>
  <si>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</si>
  <si>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</si>
  <si>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</si>
  <si>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</si>
  <si>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</si>
  <si>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</si>
  <si>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</si>
  <si>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</si>
  <si>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</si>
  <si>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</si>
  <si>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</si>
  <si>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</si>
  <si>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</si>
  <si>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</si>
  <si>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</si>
  <si>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</si>
  <si>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</si>
  <si>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</si>
  <si>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</si>
  <si>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</si>
  <si>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</si>
  <si>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</si>
  <si>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</si>
  <si>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</si>
  <si>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</si>
  <si>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</si>
  <si>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</si>
  <si>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</si>
  <si>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</si>
  <si>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</si>
  <si>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</si>
  <si>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</si>
  <si>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</si>
  <si>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</si>
  <si>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</si>
  <si>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</si>
  <si>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</si>
  <si>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</si>
  <si>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</si>
  <si>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</si>
  <si>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</si>
  <si>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</si>
  <si>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</si>
  <si>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</si>
  <si>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</si>
  <si>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</si>
  <si>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</si>
  <si>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</si>
  <si>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</si>
  <si>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</si>
  <si>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</si>
  <si>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</si>
  <si>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</si>
  <si>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</si>
  <si>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</si>
  <si>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</si>
  <si>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</si>
  <si>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</si>
  <si>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</si>
  <si>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</si>
  <si>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</si>
  <si>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</si>
  <si>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</si>
  <si>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</si>
  <si>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</si>
  <si>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</si>
  <si>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</si>
  <si>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</si>
  <si>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</si>
  <si>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</si>
  <si>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</si>
  <si>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</si>
  <si>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</si>
  <si>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</si>
  <si>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</si>
  <si>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</si>
  <si>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</si>
  <si>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</si>
  <si>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</si>
  <si>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</si>
  <si>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</si>
  <si>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</si>
  <si>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</si>
  <si>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</si>
  <si>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</si>
  <si>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</si>
  <si>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</si>
  <si>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</si>
  <si>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</si>
  <si>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</si>
  <si>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</si>
  <si>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</si>
  <si>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</si>
  <si>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</si>
  <si>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</si>
  <si>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</si>
  <si>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</si>
  <si>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</si>
  <si>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</si>
  <si>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</si>
  <si>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</si>
  <si>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</si>
  <si>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</si>
  <si>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</si>
  <si>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</si>
  <si>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</si>
  <si>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</si>
  <si>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</si>
  <si>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</si>
  <si>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</si>
  <si>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</si>
  <si>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</si>
  <si>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</si>
  <si>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</si>
  <si>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</si>
  <si>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</si>
  <si>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</si>
  <si>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</si>
  <si>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</si>
  <si>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</si>
  <si>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</si>
  <si>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</si>
  <si>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</si>
  <si>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</si>
  <si>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</si>
  <si>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</si>
  <si>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</si>
  <si>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</si>
  <si>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</si>
  <si>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</si>
  <si>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</si>
  <si>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</si>
  <si>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</si>
  <si>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</si>
  <si>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</si>
  <si>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</si>
  <si>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</si>
  <si>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</si>
  <si>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</si>
  <si>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</si>
  <si>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</si>
  <si>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</si>
  <si>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</si>
  <si>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</si>
  <si>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</si>
  <si>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</si>
  <si>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</si>
  <si>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</si>
  <si>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</si>
  <si>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</si>
  <si>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</si>
  <si>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</si>
  <si>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</si>
  <si>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</si>
  <si>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</si>
  <si>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</si>
  <si>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</si>
  <si>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</si>
  <si>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</si>
  <si>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</si>
  <si>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</si>
  <si>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</si>
  <si>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</si>
  <si>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</si>
  <si>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</si>
  <si>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</si>
  <si>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</si>
  <si>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</si>
  <si>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</si>
  <si>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</si>
  <si>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</si>
  <si>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</si>
  <si>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</si>
  <si>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</si>
  <si>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</si>
  <si>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</si>
  <si>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</si>
  <si>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</si>
  <si>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</si>
  <si>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</si>
  <si>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</si>
  <si>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</si>
  <si>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</si>
  <si>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</si>
  <si>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</si>
  <si>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</si>
  <si>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</si>
  <si>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</si>
  <si>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</si>
  <si>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</si>
  <si>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</si>
  <si>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</si>
  <si>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</si>
  <si>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</si>
  <si>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</si>
  <si>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</si>
  <si>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</si>
  <si>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</si>
  <si>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</si>
  <si>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</si>
  <si>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</si>
  <si>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</si>
  <si>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</si>
  <si>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</si>
  <si>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</si>
  <si>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</si>
  <si>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</si>
  <si>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</si>
  <si>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</si>
  <si>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</si>
  <si>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</si>
  <si>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</si>
  <si>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</si>
  <si>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</si>
  <si>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</si>
  <si>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</si>
  <si>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</si>
  <si>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</si>
  <si>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</si>
  <si>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</si>
  <si>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</si>
  <si>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</si>
  <si>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</si>
  <si>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</si>
  <si>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</si>
  <si>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</si>
  <si>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</si>
  <si>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</si>
  <si>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</si>
  <si>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</si>
  <si>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</si>
  <si>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</si>
  <si>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</si>
  <si>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</si>
  <si>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</si>
  <si>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</si>
  <si>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</si>
  <si>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</si>
  <si>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</si>
  <si>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</si>
  <si>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</si>
  <si>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</si>
  <si>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</si>
  <si>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</si>
  <si>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</si>
  <si>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</si>
  <si>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</si>
  <si>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</si>
  <si>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</si>
  <si>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</si>
  <si>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</si>
  <si>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</si>
  <si>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</si>
  <si>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</si>
  <si>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</si>
  <si>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</si>
  <si>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</si>
  <si>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</si>
  <si>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</si>
  <si>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</si>
  <si>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</si>
  <si>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</si>
  <si>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</si>
  <si>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</si>
  <si>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</si>
  <si>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</si>
  <si>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</si>
  <si>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</si>
  <si>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</si>
  <si>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</si>
  <si>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</si>
  <si>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</si>
  <si>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</si>
  <si>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</si>
  <si>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</si>
  <si>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</si>
  <si>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</si>
  <si>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</si>
  <si>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</si>
  <si>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</si>
  <si>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</si>
  <si>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</si>
  <si>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</si>
  <si>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</si>
  <si>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</si>
  <si>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</si>
  <si>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</si>
  <si>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</si>
  <si>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</si>
  <si>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</si>
  <si>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</si>
  <si>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</si>
  <si>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</si>
  <si>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</si>
  <si>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</si>
  <si>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</si>
  <si>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</si>
  <si>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</si>
  <si>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</si>
  <si>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</si>
  <si>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</si>
  <si>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</si>
  <si>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</si>
  <si>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</si>
  <si>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</si>
  <si>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</si>
  <si>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</si>
  <si>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</si>
  <si>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</si>
  <si>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</si>
  <si>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</si>
  <si>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</si>
  <si>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</si>
  <si>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</si>
  <si>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</si>
  <si>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</si>
  <si>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</si>
  <si>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</si>
  <si>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</si>
  <si>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</si>
  <si>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</si>
  <si>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</si>
  <si>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</si>
  <si>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</si>
  <si>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</si>
  <si>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</si>
  <si>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</si>
  <si>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</si>
  <si>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</si>
  <si>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</si>
  <si>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</si>
  <si>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</si>
  <si>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</si>
  <si>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</si>
  <si>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</si>
  <si>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</si>
  <si>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</si>
  <si>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</si>
  <si>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</si>
  <si>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</si>
  <si>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</si>
  <si>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</si>
  <si>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</si>
  <si>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</si>
  <si>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</si>
  <si>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</si>
  <si>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</si>
  <si>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</si>
  <si>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</si>
  <si>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</si>
  <si>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</si>
  <si>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</si>
  <si>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</si>
  <si>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</si>
  <si>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</si>
  <si>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</si>
  <si>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</si>
  <si>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</si>
  <si>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</si>
  <si>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</si>
  <si>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</si>
  <si>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</si>
  <si>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</si>
  <si>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</si>
  <si>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</si>
  <si>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</si>
  <si>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</si>
  <si>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</si>
  <si>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</si>
  <si>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</si>
  <si>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</si>
  <si>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</si>
  <si>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</si>
  <si>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</si>
  <si>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</si>
  <si>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</si>
  <si>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</si>
  <si>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</si>
  <si>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</si>
  <si>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</si>
  <si>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</si>
  <si>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</si>
  <si>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</si>
  <si>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</si>
  <si>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</si>
  <si>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</si>
  <si>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</si>
  <si>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</si>
  <si>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</si>
  <si>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</si>
  <si>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</si>
  <si>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</si>
  <si>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</si>
  <si>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</si>
  <si>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</si>
  <si>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</si>
  <si>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</si>
  <si>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</si>
  <si>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</si>
  <si>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</si>
  <si>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</si>
  <si>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</si>
  <si>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</si>
  <si>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</si>
  <si>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</si>
  <si>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</si>
  <si>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</si>
  <si>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</si>
  <si>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</si>
  <si>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</si>
  <si>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</si>
  <si>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</si>
  <si>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</si>
  <si>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</si>
  <si>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</si>
  <si>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</si>
  <si>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</si>
  <si>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</si>
  <si>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</si>
  <si>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</si>
  <si>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</si>
  <si>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</si>
  <si>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</si>
  <si>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</si>
  <si>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</si>
  <si>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</si>
  <si>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</si>
  <si>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</si>
  <si>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</si>
  <si>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</si>
  <si>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</si>
  <si>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</si>
  <si>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</si>
  <si>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</si>
  <si>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</si>
  <si>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</si>
  <si>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</si>
  <si>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</si>
  <si>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</si>
  <si>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</si>
  <si>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</si>
  <si>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</si>
  <si>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</si>
  <si>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</si>
  <si>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</si>
  <si>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</si>
  <si>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</si>
  <si>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</si>
  <si>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</si>
  <si>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</si>
  <si>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</si>
  <si>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</si>
  <si>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</si>
  <si>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</si>
  <si>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</si>
  <si>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</si>
  <si>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</si>
  <si>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</si>
  <si>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</si>
  <si>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</si>
  <si>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</si>
  <si>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</si>
  <si>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</si>
  <si>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</si>
  <si>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</si>
  <si>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</si>
  <si>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</si>
  <si>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</si>
  <si>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</si>
  <si>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</si>
  <si>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</si>
  <si>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</si>
  <si>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</si>
  <si>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</si>
  <si>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</si>
  <si>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</si>
  <si>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</si>
  <si>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</si>
  <si>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</si>
  <si>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</si>
  <si>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</si>
  <si>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</si>
  <si>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</si>
  <si>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</si>
  <si>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</si>
  <si>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</si>
  <si>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</si>
  <si>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</si>
  <si>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</si>
  <si>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</si>
  <si>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</si>
  <si>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</si>
  <si>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</si>
  <si>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</si>
  <si>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</si>
  <si>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</si>
  <si>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</si>
  <si>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</si>
  <si>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</si>
  <si>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</si>
  <si>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</si>
  <si>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</si>
  <si>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</si>
  <si>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</si>
  <si>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</si>
  <si>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</si>
  <si>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</si>
  <si>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</si>
  <si>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</si>
  <si>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</si>
  <si>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</si>
  <si>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</si>
  <si>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</si>
  <si>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</si>
  <si>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</si>
  <si>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</si>
  <si>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</si>
  <si>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</si>
  <si>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</si>
  <si>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</si>
  <si>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</si>
  <si>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</si>
  <si>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</si>
  <si>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</si>
  <si>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</si>
  <si>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</si>
  <si>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</si>
  <si>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</si>
  <si>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</si>
  <si>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</si>
  <si>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</si>
  <si>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</si>
  <si>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</si>
  <si>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</si>
  <si>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</si>
  <si>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</si>
  <si>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</si>
  <si>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</si>
  <si>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</si>
  <si>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</si>
  <si>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</si>
  <si>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</si>
  <si>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</si>
  <si>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</si>
  <si>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</si>
  <si>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</si>
  <si>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</si>
  <si>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</si>
  <si>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</si>
  <si>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</si>
  <si>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</si>
  <si>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</si>
  <si>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</si>
  <si>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</si>
  <si>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</si>
  <si>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</si>
  <si>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</si>
  <si>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</si>
  <si>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</si>
  <si>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</si>
  <si>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</si>
  <si>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</si>
  <si>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</si>
  <si>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</si>
  <si>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</si>
  <si>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</si>
  <si>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</si>
  <si>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</si>
  <si>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</si>
  <si>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</si>
  <si>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</si>
  <si>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</si>
  <si>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</si>
  <si>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</si>
  <si>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</si>
  <si>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</si>
  <si>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</si>
  <si>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</si>
  <si>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</si>
  <si>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</si>
  <si>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</si>
  <si>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</si>
  <si>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</si>
  <si>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</si>
  <si>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</si>
  <si>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</si>
  <si>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</si>
  <si>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</si>
  <si>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</si>
  <si>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</si>
  <si>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</si>
  <si>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</si>
  <si>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</si>
  <si>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</si>
  <si>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</si>
  <si>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</si>
  <si>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</si>
  <si>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</si>
  <si>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</si>
  <si>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</si>
  <si>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</si>
  <si>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</si>
  <si>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</si>
  <si>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</si>
  <si>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</si>
  <si>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</si>
  <si>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</si>
  <si>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</si>
  <si>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</si>
  <si>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</si>
  <si>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</si>
  <si>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</si>
  <si>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</si>
  <si>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</si>
  <si>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</si>
  <si>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</si>
  <si>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</si>
  <si>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</si>
  <si>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</si>
  <si>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</si>
  <si>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</si>
  <si>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</si>
  <si>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</si>
  <si>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</si>
  <si>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</si>
  <si>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</si>
  <si>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</si>
  <si>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</si>
  <si>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</si>
  <si>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</si>
  <si>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</si>
  <si>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</si>
  <si>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</si>
  <si>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</si>
  <si>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</si>
  <si>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</si>
  <si>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</si>
  <si>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</si>
  <si>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</si>
  <si>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</si>
  <si>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</si>
  <si>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</si>
  <si>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</si>
  <si>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</si>
  <si>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</si>
  <si>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</si>
  <si>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</si>
  <si>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</si>
  <si>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</si>
  <si>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</si>
  <si>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</si>
  <si>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</si>
  <si>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</si>
  <si>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</si>
  <si>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</si>
  <si>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</si>
  <si>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</si>
  <si>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</si>
  <si>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</si>
  <si>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</si>
  <si>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</si>
  <si>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</si>
  <si>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</si>
  <si>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</si>
  <si>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</si>
  <si>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</si>
  <si>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</si>
  <si>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</si>
  <si>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</si>
  <si>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</si>
  <si>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</si>
  <si>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</si>
  <si>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</si>
  <si>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</si>
  <si>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</si>
  <si>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</si>
  <si>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</si>
  <si>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</si>
  <si>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</si>
  <si>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</si>
  <si>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</si>
  <si>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</si>
  <si>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</si>
  <si>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</si>
  <si>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</si>
  <si>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</si>
  <si>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</si>
  <si>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</si>
  <si>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</si>
  <si>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</si>
  <si>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</si>
  <si>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</si>
  <si>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</si>
  <si>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</si>
  <si>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</si>
  <si>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</si>
  <si>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</si>
  <si>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</si>
  <si>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</si>
  <si>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</si>
  <si>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</si>
  <si>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</si>
  <si>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</si>
  <si>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</si>
  <si>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</si>
  <si>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</si>
  <si>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</si>
  <si>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</si>
  <si>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</si>
  <si>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</si>
  <si>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</si>
  <si>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</si>
  <si>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</si>
  <si>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</si>
  <si>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</si>
  <si>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</si>
  <si>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</si>
  <si>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</si>
  <si>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</si>
  <si>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</si>
  <si>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</si>
  <si>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</si>
  <si>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</si>
  <si>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</si>
  <si>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</si>
  <si>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</si>
  <si>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</si>
  <si>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</si>
  <si>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</si>
  <si>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</si>
  <si>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</si>
  <si>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</si>
  <si>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</si>
  <si>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</si>
  <si>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</si>
  <si>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</si>
  <si>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</si>
  <si>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</si>
  <si>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</si>
  <si>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</si>
  <si>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</si>
  <si>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</si>
  <si>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</si>
  <si>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</si>
  <si>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</si>
  <si>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</si>
  <si>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</si>
  <si>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</si>
  <si>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</si>
  <si>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</si>
  <si>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</si>
  <si>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</si>
  <si>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</si>
  <si>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</si>
  <si>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</si>
  <si>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</si>
  <si>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</si>
  <si>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</si>
  <si>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</si>
  <si>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</si>
  <si>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</si>
  <si>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</si>
  <si>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</si>
  <si>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</si>
  <si>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</si>
  <si>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</si>
  <si>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</si>
  <si>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</si>
  <si>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</si>
  <si>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</si>
  <si>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</si>
  <si>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</si>
  <si>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</si>
  <si>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</si>
  <si>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</si>
  <si>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</si>
  <si>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</si>
  <si>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</si>
  <si>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</si>
  <si>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</si>
  <si>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</si>
  <si>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</si>
  <si>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</si>
  <si>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</si>
  <si>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</si>
  <si>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</si>
  <si>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</si>
  <si>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</si>
  <si>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</si>
  <si>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</si>
  <si>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</si>
  <si>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</si>
  <si>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</si>
  <si>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</si>
  <si>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</si>
  <si>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</si>
  <si>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</si>
  <si>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</si>
  <si>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</si>
  <si>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</si>
  <si>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</si>
  <si>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</si>
  <si>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</si>
  <si>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</si>
  <si>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</si>
  <si>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</si>
  <si>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</si>
  <si>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</si>
  <si>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</si>
  <si>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</si>
  <si>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</si>
  <si>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</si>
  <si>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</si>
  <si>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</si>
  <si>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</si>
  <si>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</si>
  <si>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</si>
  <si>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</si>
  <si>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</si>
  <si>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</si>
  <si>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</si>
  <si>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</si>
  <si>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</si>
  <si>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</si>
  <si>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</si>
  <si>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</si>
  <si>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</si>
  <si>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</si>
  <si>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</si>
  <si>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</si>
  <si>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</si>
  <si>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</si>
  <si>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</si>
  <si>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</si>
  <si>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</si>
  <si>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</si>
  <si>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</si>
  <si>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</si>
  <si>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</si>
  <si>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</si>
  <si>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</si>
  <si>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</si>
  <si>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</si>
  <si>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</si>
  <si>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</si>
  <si>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</si>
  <si>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</si>
  <si>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</si>
  <si>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</si>
  <si>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</si>
  <si>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</si>
  <si>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</si>
  <si>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</si>
  <si>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</si>
  <si>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</si>
  <si>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</si>
  <si>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</si>
  <si>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</si>
  <si>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</si>
  <si>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</si>
  <si>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</si>
  <si>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</si>
  <si>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</si>
  <si>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</si>
  <si>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</si>
  <si>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</si>
  <si>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</si>
  <si>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</si>
  <si>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</si>
  <si>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</si>
  <si>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</si>
  <si>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</si>
  <si>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</si>
  <si>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</si>
  <si>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</si>
  <si>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</si>
  <si>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</si>
  <si>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</si>
  <si>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</si>
  <si>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</si>
  <si>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</si>
  <si>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</si>
  <si>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</si>
  <si>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</si>
  <si>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</si>
  <si>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</si>
  <si>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</si>
  <si>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</si>
  <si>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</si>
  <si>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</si>
  <si>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</si>
  <si>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</si>
  <si>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</si>
  <si>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</si>
  <si>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</si>
  <si>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</si>
  <si>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</si>
  <si>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</si>
  <si>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</si>
  <si>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</si>
  <si>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</si>
  <si>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</si>
  <si>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</si>
  <si>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</si>
  <si>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</si>
  <si>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</si>
  <si>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</si>
  <si>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</si>
  <si>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</si>
  <si>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</si>
  <si>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</si>
  <si>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</si>
  <si>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</si>
  <si>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</si>
  <si>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</si>
  <si>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</si>
  <si>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</si>
  <si>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</si>
  <si>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</si>
  <si>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</si>
  <si>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</si>
  <si>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</si>
  <si>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</si>
  <si>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</si>
  <si>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</si>
  <si>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</si>
  <si>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</si>
  <si>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</si>
  <si>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</si>
  <si>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</si>
  <si>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</si>
  <si>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</si>
  <si>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</si>
  <si>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</si>
  <si>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</si>
  <si>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</si>
  <si>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</si>
  <si>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</si>
  <si>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</si>
  <si>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</si>
  <si>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</si>
  <si>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</si>
  <si>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</si>
  <si>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</si>
  <si>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</si>
  <si>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</si>
  <si>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</si>
  <si>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</si>
  <si>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</si>
  <si>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</si>
  <si>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</si>
  <si>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</si>
  <si>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</si>
  <si>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</si>
  <si>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</si>
  <si>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</si>
  <si>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</si>
  <si>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</si>
  <si>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</si>
  <si>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</si>
  <si>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</si>
  <si>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</si>
  <si>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</si>
  <si>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</si>
  <si>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</si>
  <si>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</si>
  <si>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</si>
  <si>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</si>
  <si>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</si>
  <si>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</si>
  <si>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</si>
  <si>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</si>
  <si>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</si>
  <si>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</si>
  <si>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</si>
  <si>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</si>
  <si>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</si>
  <si>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</si>
  <si>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</si>
  <si>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</si>
  <si>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</si>
  <si>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</si>
  <si>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</si>
  <si>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</si>
  <si>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</si>
  <si>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</si>
  <si>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</si>
  <si>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</si>
  <si>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</si>
  <si>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</si>
  <si>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</si>
  <si>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</si>
  <si>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</si>
  <si>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</si>
  <si>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</si>
  <si>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</si>
  <si>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</si>
  <si>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</si>
  <si>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</si>
  <si>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</si>
  <si>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</si>
  <si>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</si>
  <si>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</si>
  <si>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</si>
  <si>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</si>
  <si>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</si>
  <si>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</si>
  <si>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</si>
  <si>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</si>
  <si>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</si>
  <si>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</si>
  <si>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</si>
  <si>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</si>
  <si>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</si>
  <si>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</si>
  <si>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</si>
  <si>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</si>
  <si>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</si>
  <si>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</si>
  <si>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</si>
  <si>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</si>
  <si>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</si>
  <si>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</si>
  <si>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</si>
  <si>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</si>
  <si>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</si>
  <si>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</si>
  <si>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</si>
  <si>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</si>
  <si>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</si>
  <si>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</si>
  <si>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</si>
  <si>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</si>
  <si>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</si>
  <si>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</si>
  <si>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</si>
  <si>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</si>
  <si>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</si>
  <si>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</si>
  <si>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</si>
  <si>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</si>
  <si>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</si>
  <si>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</si>
  <si>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</si>
  <si>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</si>
  <si>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</si>
  <si>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</si>
  <si>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</si>
  <si>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</si>
  <si>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</si>
  <si>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</si>
  <si>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</si>
  <si>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</si>
  <si>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</si>
  <si>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</si>
  <si>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</si>
  <si>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</si>
  <si>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</si>
  <si>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</si>
  <si>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</si>
  <si>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</si>
  <si>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</si>
  <si>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</si>
  <si>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</si>
  <si>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</si>
  <si>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</si>
  <si>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</si>
  <si>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</si>
  <si>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</si>
  <si>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</si>
  <si>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</si>
  <si>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</si>
  <si>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</si>
  <si>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</si>
  <si>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</si>
  <si>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</si>
  <si>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</si>
  <si>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</si>
  <si>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</si>
  <si>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</si>
  <si>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</si>
  <si>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</si>
  <si>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</si>
  <si>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</si>
  <si>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</si>
  <si>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</si>
  <si>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</si>
  <si>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</si>
  <si>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</si>
  <si>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</si>
  <si>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</si>
  <si>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</si>
  <si>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</si>
  <si>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</si>
  <si>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</si>
  <si>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</si>
  <si>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</si>
  <si>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</si>
  <si>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</si>
  <si>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</si>
  <si>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</si>
  <si>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</si>
  <si>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</si>
  <si>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</si>
  <si>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</si>
  <si>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</si>
  <si>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</si>
  <si>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</si>
  <si>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</si>
  <si>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</si>
  <si>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</si>
  <si>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</si>
  <si>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</si>
  <si>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</si>
  <si>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</si>
  <si>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</si>
  <si>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</si>
  <si>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</si>
  <si>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</si>
  <si>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</si>
  <si>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</si>
  <si>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</si>
  <si>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</si>
  <si>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</si>
  <si>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</si>
  <si>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</si>
  <si>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</si>
  <si>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</si>
  <si>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</si>
  <si>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</si>
  <si>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</si>
  <si>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</si>
  <si>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</si>
  <si>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</si>
  <si>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</si>
  <si>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</si>
  <si>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</si>
  <si>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</si>
  <si>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</si>
  <si>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</si>
  <si>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</si>
  <si>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</si>
  <si>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</si>
  <si>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</si>
  <si>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</si>
  <si>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</si>
  <si>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</si>
  <si>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</si>
  <si>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</si>
  <si>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</si>
  <si>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</si>
  <si>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</si>
  <si>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</si>
  <si>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</si>
  <si>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</si>
  <si>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</si>
  <si>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</si>
  <si>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</si>
  <si>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</si>
  <si>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</si>
  <si>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</si>
  <si>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</si>
  <si>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</si>
  <si>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</si>
  <si>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</si>
  <si>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</si>
  <si>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</si>
  <si>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</si>
  <si>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</si>
  <si>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</si>
  <si>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</si>
  <si>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</si>
  <si>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</si>
  <si>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</si>
  <si>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</si>
  <si>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</si>
  <si>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</si>
  <si>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</si>
  <si>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</si>
  <si>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</si>
  <si>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</si>
  <si>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</si>
  <si>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</si>
  <si>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</si>
  <si>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</si>
  <si>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</si>
  <si>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</si>
  <si>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</si>
  <si>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</si>
  <si>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</si>
  <si>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</si>
  <si>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</si>
  <si>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</si>
  <si>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</si>
  <si>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</si>
  <si>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</si>
  <si>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</si>
  <si>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</si>
  <si>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</si>
  <si>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</si>
  <si>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</si>
  <si>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</si>
  <si>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</si>
  <si>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</si>
  <si>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</si>
  <si>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</si>
  <si>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</si>
  <si>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</si>
  <si>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</si>
  <si>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</si>
  <si>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</si>
  <si>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</si>
  <si>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</si>
  <si>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</si>
  <si>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</si>
  <si>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</si>
  <si>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</si>
  <si>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</si>
  <si>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</si>
  <si>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</si>
  <si>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</si>
  <si>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</si>
  <si>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</si>
  <si>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</si>
  <si>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</si>
  <si>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</si>
  <si>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</si>
  <si>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</si>
  <si>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</si>
  <si>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</si>
  <si>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</si>
  <si>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</si>
  <si>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</si>
  <si>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</si>
  <si>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</si>
  <si>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</si>
  <si>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</si>
  <si>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</si>
  <si>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</si>
  <si>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</si>
  <si>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</si>
  <si>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</si>
  <si>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</si>
  <si>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</si>
  <si>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</si>
  <si>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</si>
  <si>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</si>
  <si>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</si>
  <si>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</si>
  <si>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</si>
  <si>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</si>
  <si>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</si>
  <si>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</si>
  <si>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</si>
  <si>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</si>
  <si>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</si>
  <si>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</si>
  <si>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</si>
  <si>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</si>
  <si>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</si>
  <si>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</si>
  <si>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</si>
  <si>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</si>
  <si>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</si>
  <si>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</si>
  <si>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</si>
  <si>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</si>
  <si>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</si>
  <si>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</si>
  <si>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</si>
  <si>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</si>
  <si>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</si>
  <si>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</si>
  <si>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</si>
  <si>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</si>
  <si>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</si>
  <si>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</si>
  <si>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</si>
  <si>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</si>
  <si>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</si>
  <si>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</si>
  <si>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</si>
  <si>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</si>
  <si>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</si>
  <si>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</si>
  <si>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</si>
  <si>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</si>
  <si>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</si>
  <si>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</si>
  <si>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</si>
  <si>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</si>
  <si>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</si>
  <si>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</si>
  <si>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</si>
  <si>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</si>
  <si>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</si>
  <si>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</si>
  <si>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</si>
  <si>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</si>
  <si>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</si>
  <si>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</si>
  <si>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</si>
  <si>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</si>
  <si>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</si>
  <si>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</si>
  <si>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</si>
  <si>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</si>
  <si>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</si>
  <si>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</si>
  <si>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</si>
  <si>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</si>
  <si>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</si>
  <si>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</si>
  <si>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</si>
  <si>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</si>
  <si>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</si>
  <si>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</si>
  <si>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</si>
  <si>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</si>
  <si>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</si>
  <si>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</si>
  <si>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</si>
  <si>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</si>
  <si>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</si>
  <si>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</si>
  <si>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</si>
  <si>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</si>
  <si>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</si>
  <si>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</si>
  <si>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</si>
  <si>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</si>
  <si>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</si>
  <si>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</si>
  <si>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</si>
  <si>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</si>
  <si>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</si>
  <si>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</si>
  <si>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</si>
  <si>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</si>
  <si>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</si>
  <si>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</si>
  <si>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</si>
  <si>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</si>
  <si>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</si>
  <si>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</si>
  <si>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</si>
  <si>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</si>
  <si>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</si>
  <si>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</si>
  <si>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</si>
  <si>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</si>
  <si>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</si>
  <si>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</si>
  <si>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</si>
  <si>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</si>
  <si>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</si>
  <si>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</si>
  <si>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</si>
  <si>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</si>
  <si>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</si>
  <si>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</si>
  <si>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</si>
  <si>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</si>
  <si>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</si>
  <si>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</si>
  <si>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</si>
  <si>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</si>
  <si>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</si>
  <si>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</si>
  <si>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</si>
  <si>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</si>
  <si>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</si>
  <si>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</si>
  <si>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</si>
  <si>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</si>
  <si>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</si>
  <si>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</si>
  <si>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</si>
  <si>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</si>
  <si>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</si>
  <si>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</si>
  <si>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</si>
  <si>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</si>
  <si>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</si>
  <si>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</si>
  <si>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</si>
  <si>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</si>
  <si>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</si>
  <si>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</si>
  <si>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</si>
  <si>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</si>
  <si>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</si>
  <si>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</si>
  <si>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</si>
  <si>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</si>
  <si>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</si>
  <si>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</si>
  <si>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</si>
  <si>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</si>
  <si>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</si>
  <si>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</si>
  <si>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</si>
  <si>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</si>
  <si>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</si>
  <si>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</si>
  <si>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</si>
  <si>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</si>
  <si>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</si>
  <si>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</si>
  <si>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</si>
  <si>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</si>
  <si>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</si>
  <si>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</si>
  <si>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</si>
  <si>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</si>
  <si>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</si>
  <si>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</si>
  <si>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</si>
  <si>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</si>
  <si>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</si>
  <si>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</si>
  <si>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</si>
  <si>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</si>
  <si>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</si>
  <si>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</si>
  <si>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</si>
  <si>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</si>
  <si>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</si>
  <si>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</si>
  <si>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</si>
  <si>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</si>
  <si>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</si>
  <si>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</si>
  <si>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</si>
  <si>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</si>
  <si>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</si>
  <si>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</si>
  <si>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</si>
  <si>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</si>
  <si>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</si>
  <si>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</si>
  <si>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</si>
  <si>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</si>
  <si>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</si>
  <si>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</si>
  <si>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</si>
  <si>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</si>
  <si>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</si>
  <si>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</si>
  <si>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</si>
  <si>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</si>
  <si>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</si>
  <si>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</si>
  <si>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</si>
  <si>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</si>
  <si>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</si>
  <si>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</si>
  <si>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</si>
  <si>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</si>
  <si>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</si>
  <si>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</si>
  <si>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</si>
  <si>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</si>
  <si>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</si>
  <si>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</si>
  <si>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</si>
  <si>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</si>
  <si>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</si>
  <si>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</si>
  <si>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</si>
  <si>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</si>
  <si>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</si>
  <si>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</si>
  <si>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</si>
  <si>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</si>
  <si>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</si>
  <si>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</si>
  <si>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</si>
  <si>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</si>
  <si>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</si>
  <si>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</si>
  <si>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</si>
  <si>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</si>
  <si>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</si>
  <si>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</si>
  <si>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</si>
  <si>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</si>
  <si>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</si>
  <si>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</si>
  <si>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</si>
  <si>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</si>
  <si>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</si>
  <si>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</si>
  <si>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</si>
  <si>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</si>
  <si>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</si>
  <si>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</si>
  <si>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</si>
  <si>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</si>
  <si>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</si>
  <si>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</si>
  <si>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</si>
  <si>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</si>
  <si>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</si>
  <si>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</si>
  <si>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</si>
  <si>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</si>
  <si>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</si>
  <si>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</si>
  <si>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</si>
  <si>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</si>
  <si>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</si>
  <si>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</si>
  <si>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</si>
  <si>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</si>
  <si>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</si>
  <si>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</si>
  <si>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</si>
  <si>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</si>
  <si>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</si>
  <si>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</si>
  <si>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</si>
  <si>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</si>
  <si>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</si>
  <si>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</si>
  <si>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</si>
  <si>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</si>
  <si>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</si>
  <si>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</si>
  <si>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</si>
  <si>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</si>
  <si>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</si>
  <si>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</si>
  <si>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</si>
  <si>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</si>
  <si>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</si>
  <si>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</si>
  <si>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</si>
  <si>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</si>
  <si>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</si>
  <si>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</si>
  <si>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</si>
  <si>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</si>
  <si>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</si>
  <si>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</si>
  <si>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</si>
  <si>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</si>
  <si>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</si>
  <si>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</si>
  <si>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</si>
  <si>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</si>
  <si>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</si>
  <si>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</si>
  <si>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</si>
  <si>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</si>
  <si>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</si>
  <si>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</si>
  <si>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</si>
  <si>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</si>
  <si>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</si>
  <si>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</si>
  <si>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</si>
  <si>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</si>
  <si>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</si>
  <si>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</si>
  <si>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</si>
  <si>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</si>
  <si>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</si>
  <si>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</si>
  <si>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</si>
  <si>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</si>
  <si>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</si>
  <si>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</si>
  <si>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</si>
  <si>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</si>
  <si>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</si>
  <si>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</si>
  <si>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</si>
  <si>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</si>
  <si>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</si>
  <si>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</si>
  <si>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</si>
  <si>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</si>
  <si>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</si>
  <si>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</si>
  <si>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</si>
  <si>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</si>
  <si>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</si>
  <si>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</si>
  <si>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</si>
  <si>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</si>
  <si>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</si>
  <si>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</si>
  <si>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</si>
  <si>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</si>
  <si>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</si>
  <si>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</si>
  <si>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</si>
  <si>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</si>
  <si>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</si>
  <si>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</si>
  <si>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</si>
  <si>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</si>
  <si>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</si>
  <si>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</si>
  <si>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</si>
  <si>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</si>
  <si>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</si>
  <si>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</si>
  <si>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</si>
  <si>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</si>
  <si>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</si>
  <si>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</si>
  <si>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</si>
  <si>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</si>
  <si>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</si>
  <si>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</si>
  <si>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</si>
  <si>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</si>
  <si>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</si>
  <si>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</si>
  <si>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</si>
  <si>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</si>
  <si>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</si>
  <si>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</si>
  <si>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</si>
  <si>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</si>
  <si>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</si>
  <si>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</si>
  <si>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</si>
  <si>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</si>
  <si>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</si>
  <si>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</si>
  <si>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</si>
  <si>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</si>
  <si>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</si>
  <si>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</si>
  <si>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</si>
  <si>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</si>
  <si>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</si>
  <si>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</si>
  <si>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</si>
  <si>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</si>
  <si>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</si>
  <si>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</si>
  <si>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</si>
  <si>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</si>
  <si>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</si>
  <si>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</si>
  <si>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</si>
  <si>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</si>
  <si>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</si>
  <si>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</si>
  <si>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</si>
  <si>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</si>
  <si>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</si>
  <si>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</si>
  <si>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</si>
  <si>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</si>
  <si>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</si>
  <si>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</si>
  <si>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</si>
  <si>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</si>
  <si>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</si>
  <si>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</si>
  <si>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</si>
  <si>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</si>
  <si>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</si>
  <si>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</si>
  <si>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</si>
  <si>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</si>
  <si>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</si>
  <si>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</si>
  <si>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</si>
  <si>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</si>
  <si>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</si>
  <si>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</si>
  <si>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</si>
  <si>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</si>
  <si>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</si>
  <si>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</si>
  <si>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</si>
  <si>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</si>
  <si>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</si>
  <si>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</si>
  <si>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</si>
  <si>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</si>
  <si>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</si>
  <si>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</si>
  <si>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</si>
  <si>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</si>
  <si>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</si>
  <si>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</si>
  <si>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</si>
  <si>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</si>
  <si>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</si>
  <si>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</si>
  <si>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</si>
  <si>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</si>
  <si>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</si>
  <si>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</si>
  <si>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</si>
  <si>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</si>
  <si>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</si>
  <si>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</si>
  <si>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</si>
  <si>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</si>
  <si>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</si>
  <si>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</si>
  <si>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</si>
  <si>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</si>
  <si>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</si>
  <si>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</si>
  <si>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</si>
  <si>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</si>
  <si>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</si>
  <si>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</si>
  <si>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</si>
  <si>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</si>
  <si>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</si>
  <si>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</si>
  <si>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</si>
  <si>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</si>
  <si>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</si>
  <si>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</si>
  <si>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</si>
  <si>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</si>
  <si>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</si>
  <si>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</si>
  <si>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</si>
  <si>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</si>
  <si>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</si>
  <si>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</si>
  <si>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</si>
  <si>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</si>
  <si>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</si>
  <si>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</si>
  <si>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</si>
  <si>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</si>
  <si>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</si>
  <si>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</si>
  <si>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</si>
  <si>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</si>
  <si>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</si>
  <si>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</si>
  <si>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</si>
  <si>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</si>
  <si>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</si>
  <si>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</si>
  <si>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</si>
  <si>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</si>
  <si>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</si>
  <si>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</si>
  <si>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</si>
  <si>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</si>
  <si>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</si>
  <si>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</si>
  <si>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</si>
  <si>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</si>
  <si>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</si>
  <si>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</si>
  <si>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</si>
  <si>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</si>
  <si>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</si>
  <si>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</si>
  <si>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</si>
  <si>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</si>
  <si>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</si>
  <si>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</si>
  <si>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</si>
  <si>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</si>
  <si>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</si>
  <si>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</si>
  <si>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</si>
  <si>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</si>
  <si>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</si>
  <si>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</si>
  <si>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</si>
  <si>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</si>
  <si>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</si>
  <si>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</si>
  <si>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</si>
  <si>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</si>
  <si>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</si>
  <si>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</si>
  <si>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</si>
  <si>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</si>
  <si>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</si>
  <si>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</si>
  <si>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</si>
  <si>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</si>
  <si>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</si>
  <si>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</si>
  <si>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</si>
  <si>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</si>
  <si>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</si>
  <si>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</si>
  <si>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</si>
  <si>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</si>
  <si>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</si>
  <si>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</si>
  <si>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</si>
  <si>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</si>
  <si>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</si>
  <si>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</si>
  <si>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</si>
  <si>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</si>
  <si>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</si>
  <si>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</si>
  <si>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</si>
  <si>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</si>
  <si>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</si>
  <si>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</si>
  <si>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</si>
  <si>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</si>
  <si>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</si>
  <si>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</si>
  <si>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</si>
  <si>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</si>
  <si>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</si>
  <si>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</si>
  <si>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</si>
  <si>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</si>
  <si>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</si>
  <si>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</si>
  <si>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</si>
  <si>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</si>
  <si>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</si>
  <si>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</si>
  <si>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</si>
  <si>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</si>
  <si>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</si>
  <si>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</si>
  <si>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</si>
  <si>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</si>
  <si>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</si>
  <si>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</si>
  <si>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</si>
  <si>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</si>
  <si>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</si>
  <si>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</si>
  <si>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</si>
  <si>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</si>
  <si>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</si>
  <si>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</si>
  <si>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</si>
  <si>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</si>
  <si>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</si>
  <si>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</si>
  <si>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</si>
  <si>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</si>
  <si>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</si>
  <si>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</si>
  <si>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</si>
  <si>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</si>
  <si>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</si>
  <si>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</si>
  <si>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</si>
  <si>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</si>
  <si>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</si>
  <si>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</si>
  <si>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</si>
  <si>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</si>
  <si>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</si>
  <si>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</si>
  <si>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</si>
  <si>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</si>
  <si>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</si>
  <si>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</si>
  <si>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</si>
  <si>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</si>
  <si>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</si>
  <si>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</si>
  <si>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</si>
  <si>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</si>
  <si>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</si>
  <si>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</si>
  <si>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</si>
  <si>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</si>
  <si>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</si>
  <si>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</si>
  <si>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</si>
  <si>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</si>
  <si>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</si>
  <si>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</si>
  <si>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</si>
  <si>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</si>
  <si>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</si>
  <si>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</si>
  <si>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</si>
  <si>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</si>
  <si>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</si>
  <si>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</si>
  <si>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</si>
  <si>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</si>
  <si>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</si>
  <si>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</si>
  <si>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</si>
  <si>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</si>
  <si>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</si>
  <si>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</si>
  <si>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</si>
  <si>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</si>
  <si>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</si>
  <si>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</si>
  <si>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</si>
  <si>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</si>
  <si>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</si>
  <si>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</si>
  <si>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</si>
  <si>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</si>
  <si>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</si>
  <si>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</si>
  <si>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</si>
  <si>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</si>
  <si>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</si>
  <si>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</si>
  <si>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</si>
  <si>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</si>
  <si>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</si>
  <si>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</si>
  <si>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</si>
  <si>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</si>
  <si>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</si>
  <si>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</si>
  <si>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</si>
  <si>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</si>
  <si>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</si>
  <si>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</si>
  <si>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</si>
  <si>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</si>
  <si>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</si>
  <si>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</si>
  <si>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</si>
  <si>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</si>
  <si>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</si>
  <si>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</si>
  <si>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</si>
  <si>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</si>
  <si>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</si>
  <si>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</si>
  <si>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</si>
  <si>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</si>
  <si>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</si>
  <si>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</si>
  <si>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</si>
  <si>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</si>
  <si>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</si>
  <si>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</si>
  <si>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</si>
  <si>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</si>
  <si>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</si>
  <si>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</si>
  <si>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</si>
  <si>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</si>
  <si>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</si>
  <si>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</si>
  <si>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</si>
  <si>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</si>
  <si>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</si>
  <si>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</si>
  <si>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</si>
  <si>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</si>
  <si>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</si>
  <si>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</si>
  <si>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</si>
  <si>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</si>
  <si>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</si>
  <si>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</si>
  <si>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</si>
  <si>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</si>
  <si>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</si>
  <si>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</si>
  <si>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</si>
  <si>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</si>
  <si>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</si>
  <si>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</si>
  <si>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</si>
  <si>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</si>
  <si>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</si>
  <si>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</si>
  <si>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</si>
  <si>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</si>
  <si>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</si>
  <si>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</si>
  <si>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</si>
  <si>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</si>
  <si>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</si>
  <si>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</si>
  <si>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</si>
  <si>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</si>
  <si>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</si>
  <si>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</si>
  <si>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</si>
  <si>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</si>
  <si>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</si>
  <si>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</si>
  <si>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</si>
  <si>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</si>
  <si>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</si>
  <si>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</si>
  <si>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</si>
  <si>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</si>
  <si>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</si>
  <si>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</si>
  <si>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</si>
  <si>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</si>
  <si>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</si>
  <si>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</si>
  <si>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</si>
  <si>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</si>
  <si>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</si>
  <si>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</si>
  <si>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</si>
  <si>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</si>
  <si>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</si>
  <si>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</si>
  <si>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</si>
  <si>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</si>
  <si>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</si>
  <si>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</si>
  <si>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</si>
  <si>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</si>
  <si>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</si>
  <si>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</si>
  <si>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</si>
  <si>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</si>
  <si>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</si>
  <si>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</si>
  <si>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</si>
  <si>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</si>
  <si>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</si>
  <si>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</si>
  <si>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</si>
  <si>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</si>
  <si>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</si>
  <si>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</si>
  <si>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</si>
  <si>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</si>
  <si>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</si>
  <si>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</si>
  <si>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</si>
  <si>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</si>
  <si>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</si>
  <si>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</si>
  <si>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</si>
  <si>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</si>
  <si>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</si>
  <si>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</si>
  <si>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</si>
  <si>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</si>
  <si>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</si>
  <si>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</si>
  <si>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</si>
  <si>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</si>
  <si>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</si>
  <si>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</si>
  <si>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</si>
  <si>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</si>
  <si>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</si>
  <si>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</si>
  <si>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</si>
  <si>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</si>
  <si>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</si>
  <si>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</si>
  <si>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</si>
  <si>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</si>
  <si>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</si>
  <si>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</si>
  <si>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</si>
  <si>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</si>
  <si>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</si>
  <si>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</si>
  <si>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</si>
  <si>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</si>
  <si>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</si>
  <si>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</si>
  <si>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</si>
  <si>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</si>
  <si>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</si>
  <si>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</si>
  <si>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</si>
  <si>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</si>
  <si>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</si>
  <si>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</si>
  <si>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</si>
  <si>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</si>
  <si>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</si>
  <si>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</si>
  <si>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</si>
  <si>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</si>
  <si>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</si>
  <si>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</si>
  <si>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</si>
  <si>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</si>
  <si>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</si>
  <si>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</si>
  <si>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</si>
  <si>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</si>
  <si>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</si>
  <si>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</si>
  <si>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</si>
  <si>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</si>
  <si>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</si>
  <si>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</si>
  <si>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</si>
  <si>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</si>
  <si>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</si>
  <si>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</si>
  <si>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</si>
  <si>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</si>
  <si>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</si>
  <si>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</si>
  <si>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</si>
  <si>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</si>
  <si>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</si>
  <si>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</si>
  <si>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</si>
  <si>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</si>
  <si>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</si>
  <si>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</si>
  <si>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</si>
  <si>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</si>
  <si>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</si>
  <si>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</si>
  <si>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</si>
  <si>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</si>
  <si>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</si>
  <si>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</si>
  <si>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</si>
  <si>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</si>
  <si>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</si>
  <si>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</si>
  <si>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</si>
  <si>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</si>
  <si>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</si>
  <si>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</si>
  <si>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</si>
  <si>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</si>
  <si>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</si>
  <si>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</si>
  <si>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</si>
  <si>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</si>
  <si>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</si>
  <si>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</si>
  <si>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</si>
  <si>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</si>
  <si>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</si>
  <si>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</si>
  <si>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</si>
  <si>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</si>
  <si>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</si>
  <si>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</si>
  <si>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</si>
  <si>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</si>
  <si>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</si>
  <si>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</si>
  <si>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</si>
  <si>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</si>
  <si>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</si>
  <si>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</si>
  <si>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</si>
  <si>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</si>
  <si>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</si>
  <si>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</si>
  <si>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</si>
  <si>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</si>
  <si>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</si>
  <si>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</si>
  <si>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</si>
  <si>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</si>
  <si>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</si>
  <si>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</si>
  <si>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</si>
  <si>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</si>
  <si>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</si>
  <si>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</si>
  <si>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</si>
  <si>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</si>
  <si>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</si>
  <si>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</si>
  <si>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</si>
  <si>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</si>
  <si>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</si>
  <si>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</si>
  <si>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</si>
  <si>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</si>
  <si>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</si>
  <si>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</si>
  <si>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</si>
  <si>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</si>
  <si>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</si>
  <si>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</si>
  <si>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</si>
  <si>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</si>
  <si>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</si>
  <si>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</si>
  <si>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</si>
  <si>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</si>
  <si>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</si>
  <si>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</si>
  <si>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</si>
  <si>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</si>
  <si>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</si>
  <si>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</si>
  <si>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</si>
  <si>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</si>
  <si>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</si>
  <si>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</si>
  <si>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</si>
  <si>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</si>
  <si>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</si>
  <si>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</si>
  <si>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</si>
  <si>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</si>
  <si>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</si>
  <si>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</si>
  <si>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</si>
  <si>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</si>
  <si>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</si>
  <si>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</si>
  <si>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</si>
  <si>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</si>
  <si>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</si>
  <si>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</si>
  <si>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</si>
  <si>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</si>
  <si>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</si>
  <si>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</si>
  <si>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</si>
  <si>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</si>
  <si>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</si>
  <si>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</si>
  <si>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</si>
  <si>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</si>
  <si>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</si>
  <si>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</si>
  <si>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</si>
  <si>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</si>
  <si>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</si>
  <si>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</si>
  <si>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</si>
  <si>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</si>
  <si>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</si>
  <si>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</si>
  <si>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</si>
  <si>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</si>
  <si>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</si>
  <si>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</si>
  <si>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</si>
  <si>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</si>
  <si>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</si>
  <si>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</si>
  <si>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</si>
  <si>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</si>
  <si>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</si>
  <si>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</si>
  <si>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</si>
  <si>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</si>
  <si>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</si>
  <si>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</si>
  <si>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</si>
  <si>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</si>
  <si>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</si>
  <si>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</si>
  <si>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</si>
  <si>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</si>
  <si>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</si>
  <si>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</si>
  <si>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</si>
  <si>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</si>
  <si>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</si>
  <si>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</si>
  <si>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</si>
  <si>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</si>
  <si>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</si>
  <si>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</si>
  <si>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</si>
  <si>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</si>
  <si>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</si>
  <si>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</si>
  <si>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</si>
  <si>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</si>
  <si>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</si>
  <si>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</si>
  <si>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</si>
  <si>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</si>
  <si>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</si>
  <si>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</si>
  <si>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</si>
  <si>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</si>
  <si>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</si>
  <si>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</si>
  <si>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</si>
  <si>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</si>
  <si>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</si>
  <si>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</si>
  <si>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</si>
  <si>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</si>
  <si>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</si>
  <si>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</si>
  <si>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</si>
  <si>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</si>
  <si>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</si>
  <si>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</si>
  <si>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</si>
  <si>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</si>
  <si>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</si>
  <si>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</si>
  <si>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</si>
  <si>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</si>
  <si>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</si>
  <si>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</si>
  <si>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</si>
  <si>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</si>
  <si>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</si>
  <si>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</si>
  <si>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</si>
  <si>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</si>
  <si>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</si>
  <si>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</si>
  <si>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</si>
  <si>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</si>
  <si>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</si>
  <si>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</si>
  <si>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</si>
  <si>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</si>
  <si>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</si>
  <si>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</si>
  <si>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</si>
  <si>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</si>
  <si>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</si>
  <si>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</si>
  <si>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</si>
  <si>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</si>
  <si>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</si>
  <si>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</si>
  <si>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</si>
  <si>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</si>
  <si>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</si>
  <si>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</si>
  <si>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</si>
  <si>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</si>
  <si>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</si>
  <si>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</si>
  <si>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</si>
  <si>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</si>
  <si>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</si>
  <si>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</si>
  <si>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</si>
  <si>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</si>
  <si>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</si>
  <si>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</si>
  <si>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</si>
  <si>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</si>
  <si>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</si>
  <si>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</si>
  <si>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</si>
  <si>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</si>
  <si>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</si>
  <si>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</si>
  <si>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</si>
  <si>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</si>
  <si>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</si>
  <si>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</si>
  <si>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</si>
  <si>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</si>
  <si>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</si>
  <si>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</si>
  <si>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</si>
  <si>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</si>
  <si>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</si>
  <si>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</si>
  <si>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</si>
  <si>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</si>
  <si>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</si>
  <si>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</si>
  <si>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</si>
  <si>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</si>
  <si>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</si>
  <si>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</si>
  <si>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</si>
  <si>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</si>
  <si>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</si>
  <si>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</si>
  <si>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</si>
  <si>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</si>
  <si>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</si>
  <si>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</si>
  <si>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</si>
  <si>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</si>
  <si>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</si>
  <si>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</si>
  <si>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</si>
  <si>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</si>
  <si>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</si>
  <si>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</si>
  <si>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</si>
  <si>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</si>
  <si>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</si>
  <si>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</si>
  <si>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</si>
  <si>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</si>
  <si>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</si>
  <si>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</si>
  <si>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</si>
  <si>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</si>
  <si>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</si>
  <si>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</si>
  <si>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</si>
  <si>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</si>
  <si>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</si>
  <si>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</si>
  <si>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</si>
  <si>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</si>
  <si>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</si>
  <si>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</si>
  <si>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</si>
  <si>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</si>
  <si>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</si>
  <si>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</si>
  <si>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</si>
  <si>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</si>
  <si>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</si>
  <si>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</si>
  <si>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</si>
  <si>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</si>
  <si>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</si>
  <si>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</si>
  <si>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</si>
  <si>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</si>
  <si>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</si>
  <si>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</si>
  <si>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</si>
  <si>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</si>
  <si>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</si>
  <si>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</si>
  <si>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</si>
  <si>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</si>
  <si>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</si>
  <si>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</si>
  <si>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</si>
  <si>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</si>
  <si>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</si>
  <si>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</si>
  <si>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</si>
  <si>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</si>
  <si>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</si>
  <si>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</si>
  <si>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</si>
  <si>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</si>
  <si>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</si>
  <si>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</si>
  <si>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</si>
  <si>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</si>
  <si>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</si>
  <si>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</si>
  <si>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</si>
  <si>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</si>
  <si>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</si>
  <si>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</si>
  <si>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</si>
  <si>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</si>
  <si>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</si>
  <si>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</si>
  <si>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</si>
  <si>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</si>
  <si>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</si>
  <si>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</si>
  <si>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</si>
  <si>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</si>
  <si>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</si>
  <si>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</si>
  <si>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</si>
  <si>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</si>
  <si>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</si>
  <si>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</si>
  <si>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</si>
  <si>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</si>
  <si>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</si>
  <si>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</si>
  <si>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</si>
  <si>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</si>
  <si>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</si>
  <si>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</si>
  <si>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</si>
  <si>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</si>
  <si>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</si>
  <si>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</si>
  <si>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</si>
  <si>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</si>
  <si>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</si>
  <si>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</si>
  <si>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</si>
  <si>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</si>
  <si>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</si>
  <si>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</si>
  <si>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</si>
  <si>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</si>
  <si>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</si>
  <si>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</si>
  <si>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</si>
  <si>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</si>
  <si>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</si>
  <si>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</si>
  <si>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</si>
  <si>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</si>
  <si>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</si>
  <si>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</si>
  <si>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</si>
  <si>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</si>
  <si>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</si>
  <si>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</si>
  <si>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</si>
  <si>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</si>
  <si>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</si>
  <si>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</si>
  <si>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</si>
  <si>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</si>
  <si>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</si>
  <si>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</si>
  <si>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</si>
  <si>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</si>
  <si>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</si>
  <si>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</si>
  <si>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</si>
  <si>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</si>
  <si>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</si>
  <si>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</si>
  <si>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</si>
  <si>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</si>
  <si>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</si>
  <si>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</si>
  <si>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</si>
  <si>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</si>
  <si>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</si>
  <si>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</si>
  <si>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</si>
  <si>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</si>
  <si>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</si>
  <si>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</si>
  <si>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</si>
  <si>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</si>
  <si>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</si>
  <si>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</si>
  <si>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</si>
  <si>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</si>
  <si>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</si>
  <si>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</si>
  <si>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</si>
  <si>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</si>
  <si>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</si>
  <si>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</si>
  <si>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</si>
  <si>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</si>
  <si>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</si>
  <si>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</si>
  <si>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</si>
  <si>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</si>
  <si>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</si>
  <si>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</si>
  <si>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</si>
  <si>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</si>
  <si>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</si>
  <si>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</si>
  <si>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</si>
  <si>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</si>
  <si>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</si>
  <si>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</si>
  <si>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</si>
  <si>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</si>
  <si>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</si>
  <si>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</si>
  <si>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</si>
  <si>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</si>
  <si>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</si>
  <si>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</si>
  <si>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</si>
  <si>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</si>
  <si>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</si>
  <si>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</si>
  <si>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</si>
  <si>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</si>
  <si>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</si>
  <si>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</si>
  <si>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</si>
  <si>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</si>
  <si>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</si>
  <si>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</si>
  <si>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</si>
  <si>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</si>
  <si>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</si>
  <si>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</si>
  <si>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</si>
  <si>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</si>
  <si>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</si>
  <si>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</si>
  <si>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</si>
  <si>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</si>
  <si>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</si>
  <si>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</si>
  <si>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</si>
  <si>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</si>
  <si>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</si>
  <si>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</si>
  <si>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</si>
  <si>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</si>
  <si>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</si>
  <si>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</si>
  <si>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</si>
  <si>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</si>
  <si>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</si>
  <si>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</si>
  <si>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</si>
  <si>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</si>
  <si>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</si>
  <si>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</si>
  <si>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</si>
  <si>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</si>
  <si>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</si>
  <si>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</si>
  <si>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</si>
  <si>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</si>
  <si>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</si>
  <si>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</si>
  <si>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</si>
  <si>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</si>
  <si>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</si>
  <si>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</si>
  <si>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</si>
  <si>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</si>
  <si>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</si>
  <si>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</si>
  <si>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</si>
  <si>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</si>
  <si>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</si>
  <si>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</si>
  <si>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</si>
  <si>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</si>
  <si>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</si>
  <si>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</si>
  <si>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</si>
  <si>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</si>
  <si>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</si>
  <si>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</si>
  <si>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</si>
  <si>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</si>
  <si>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</si>
  <si>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</si>
  <si>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</si>
  <si>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</si>
  <si>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</si>
  <si>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</si>
  <si>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</si>
  <si>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</si>
  <si>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</si>
  <si>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</si>
  <si>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</si>
  <si>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</si>
  <si>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</si>
  <si>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</si>
  <si>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</si>
  <si>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</si>
  <si>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</si>
  <si>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</si>
  <si>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</si>
  <si>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</si>
  <si>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</si>
  <si>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</si>
  <si>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</si>
  <si>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</si>
  <si>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</si>
  <si>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</si>
  <si>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</si>
  <si>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</si>
  <si>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</si>
  <si>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</si>
  <si>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</si>
  <si>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</si>
  <si>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</si>
  <si>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</si>
  <si>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</si>
  <si>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</si>
  <si>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</si>
  <si>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</si>
  <si>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</si>
  <si>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</si>
  <si>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</si>
  <si>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</si>
  <si>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</si>
  <si>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</si>
  <si>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</si>
  <si>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</si>
  <si>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</si>
  <si>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</si>
  <si>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</si>
  <si>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</si>
  <si>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</si>
  <si>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</si>
  <si>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</si>
  <si>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</si>
  <si>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</si>
  <si>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</si>
  <si>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</si>
  <si>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</si>
  <si>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</si>
  <si>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</si>
  <si>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</si>
  <si>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</si>
  <si>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</si>
  <si>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</si>
  <si>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</si>
  <si>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</si>
  <si>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</si>
  <si>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</si>
  <si>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</si>
  <si>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</si>
  <si>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</si>
  <si>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</si>
  <si>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</si>
  <si>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</si>
  <si>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</si>
  <si>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</si>
  <si>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</si>
  <si>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</si>
  <si>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</si>
  <si>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</si>
  <si>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</si>
  <si>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</si>
  <si>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</si>
  <si>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</si>
  <si>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</si>
  <si>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</si>
  <si>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</si>
  <si>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</si>
  <si>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</si>
  <si>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</si>
  <si>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</si>
  <si>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</si>
  <si>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</si>
  <si>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</si>
  <si>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</si>
  <si>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</si>
  <si>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</si>
  <si>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</si>
  <si>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</si>
  <si>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</si>
  <si>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</si>
  <si>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</si>
  <si>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</si>
  <si>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</si>
  <si>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</si>
  <si>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</si>
  <si>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</si>
  <si>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</si>
  <si>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</si>
  <si>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</si>
  <si>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</si>
  <si>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</si>
  <si>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</si>
  <si>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</si>
  <si>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</si>
  <si>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</si>
  <si>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</si>
  <si>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</si>
  <si>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</si>
  <si>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</si>
  <si>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</si>
  <si>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</si>
  <si>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</si>
  <si>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</si>
  <si>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</si>
  <si>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</si>
  <si>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</si>
  <si>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</si>
  <si>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</si>
  <si>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</si>
  <si>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</si>
  <si>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</si>
  <si>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</si>
  <si>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</si>
  <si>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</si>
  <si>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</si>
  <si>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</si>
  <si>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</si>
  <si>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</si>
  <si>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</si>
  <si>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</si>
  <si>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</si>
  <si>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</si>
  <si>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</si>
  <si>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</si>
  <si>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</si>
  <si>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</si>
  <si>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</si>
  <si>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</si>
  <si>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</si>
  <si>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</si>
  <si>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</si>
  <si>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</si>
  <si>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</si>
  <si>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</si>
  <si>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</si>
  <si>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</si>
  <si>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</si>
  <si>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</si>
  <si>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</si>
  <si>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</si>
  <si>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</si>
  <si>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</si>
  <si>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</si>
  <si>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</si>
  <si>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</si>
  <si>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</si>
  <si>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</si>
  <si>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</si>
  <si>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</si>
  <si>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</si>
  <si>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</si>
  <si>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</si>
  <si>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</si>
  <si>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</si>
  <si>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</si>
  <si>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</si>
  <si>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</si>
  <si>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</si>
  <si>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</si>
  <si>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</si>
  <si>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</si>
  <si>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</si>
  <si>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</si>
  <si>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</si>
  <si>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</si>
  <si>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</si>
  <si>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</si>
  <si>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</si>
  <si>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</si>
  <si>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</si>
  <si>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</si>
  <si>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</si>
  <si>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</si>
  <si>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</si>
  <si>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</si>
  <si>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</si>
  <si>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</si>
  <si>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</si>
  <si>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</si>
  <si>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</si>
  <si>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</si>
  <si>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</si>
  <si>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</si>
  <si>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</si>
  <si>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</si>
  <si>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</si>
  <si>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</si>
  <si>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</si>
  <si>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</si>
  <si>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</si>
  <si>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</si>
  <si>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</si>
  <si>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</si>
  <si>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</si>
  <si>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</si>
  <si>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</si>
  <si>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</si>
  <si>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</si>
  <si>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</si>
  <si>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</si>
  <si>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</si>
  <si>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</si>
  <si>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</si>
  <si>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</si>
  <si>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</si>
  <si>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</si>
  <si>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</si>
  <si>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</si>
  <si>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</si>
  <si>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</si>
  <si>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</si>
  <si>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</si>
  <si>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</si>
  <si>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</si>
  <si>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</si>
  <si>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</si>
  <si>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</si>
  <si>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</si>
  <si>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</si>
  <si>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</si>
  <si>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</si>
  <si>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</si>
  <si>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</si>
  <si>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</si>
  <si>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</si>
  <si>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</si>
  <si>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</si>
  <si>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</si>
  <si>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</si>
  <si>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</si>
  <si>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</si>
  <si>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</si>
  <si>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</si>
  <si>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</si>
  <si>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</si>
  <si>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</si>
  <si>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</si>
  <si>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</si>
  <si>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</si>
  <si>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</si>
  <si>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</si>
  <si>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</si>
  <si>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</si>
  <si>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</si>
  <si>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</si>
  <si>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</si>
  <si>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</si>
  <si>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</si>
  <si>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</si>
  <si>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</si>
  <si>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</si>
  <si>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</si>
  <si>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</si>
  <si>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</si>
  <si>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</si>
  <si>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</si>
  <si>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</si>
  <si>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</si>
  <si>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</si>
  <si>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</si>
  <si>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</si>
  <si>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</si>
  <si>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</si>
  <si>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</si>
  <si>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</si>
  <si>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</si>
  <si>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</si>
  <si>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</si>
  <si>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</si>
  <si>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</si>
  <si>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</si>
  <si>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</si>
  <si>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</si>
  <si>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</si>
  <si>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</si>
  <si>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</si>
  <si>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</si>
  <si>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</si>
  <si>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</si>
  <si>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</si>
  <si>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</si>
  <si>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</si>
  <si>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</si>
  <si>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</si>
  <si>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</si>
  <si>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</si>
  <si>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</si>
  <si>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</si>
  <si>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</si>
  <si>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</si>
  <si>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</si>
  <si>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</si>
  <si>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</si>
  <si>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</si>
  <si>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</si>
  <si>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</si>
  <si>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</si>
  <si>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</si>
  <si>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</si>
  <si>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</si>
  <si>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</si>
  <si>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</si>
  <si>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</si>
  <si>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</si>
  <si>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</si>
  <si>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</si>
  <si>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</si>
  <si>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</si>
  <si>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</si>
  <si>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</si>
  <si>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</si>
  <si>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</si>
  <si>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</si>
  <si>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</si>
  <si>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</si>
  <si>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</si>
  <si>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</si>
  <si>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</si>
  <si>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</si>
  <si>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</si>
  <si>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</si>
  <si>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</si>
  <si>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</si>
  <si>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</si>
  <si>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</si>
  <si>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</si>
  <si>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</si>
  <si>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</si>
  <si>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</si>
  <si>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</si>
  <si>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</si>
  <si>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</si>
  <si>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</si>
  <si>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</si>
  <si>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</si>
  <si>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</si>
  <si>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</si>
  <si>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</si>
  <si>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</si>
  <si>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</si>
  <si>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</si>
  <si>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</si>
  <si>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</si>
  <si>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</si>
  <si>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</si>
  <si>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</si>
  <si>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</si>
  <si>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</si>
  <si>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</si>
  <si>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</si>
  <si>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</si>
  <si>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</si>
  <si>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</si>
  <si>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</si>
  <si>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</si>
  <si>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</si>
  <si>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</si>
  <si>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</si>
  <si>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</si>
  <si>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</si>
  <si>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</si>
  <si>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</si>
  <si>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</si>
  <si>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</si>
  <si>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</si>
  <si>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</si>
  <si>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</si>
  <si>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</si>
  <si>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</si>
  <si>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</si>
  <si>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</si>
  <si>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</si>
  <si>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</si>
  <si>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</si>
  <si>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</si>
  <si>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</si>
  <si>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</si>
  <si>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</si>
  <si>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</si>
  <si>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</si>
  <si>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</si>
  <si>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</si>
  <si>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</si>
  <si>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</si>
  <si>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</si>
  <si>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</si>
  <si>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</si>
  <si>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</si>
  <si>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</si>
  <si>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</si>
  <si>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</si>
  <si>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</si>
  <si>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</si>
  <si>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</si>
  <si>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</si>
  <si>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</si>
  <si>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</si>
  <si>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</si>
  <si>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</si>
  <si>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</si>
  <si>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</si>
  <si>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</si>
  <si>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</si>
  <si>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</si>
  <si>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</si>
  <si>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</si>
  <si>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</si>
  <si>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</si>
  <si>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</si>
  <si>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</si>
  <si>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</si>
  <si>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</si>
  <si>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</si>
  <si>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</si>
  <si>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</si>
  <si>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</si>
  <si>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</si>
  <si>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</si>
  <si>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</si>
  <si>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</si>
  <si>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</si>
  <si>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</si>
  <si>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</si>
  <si>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</si>
  <si>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</si>
  <si>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</si>
  <si>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</si>
  <si>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</si>
  <si>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</si>
  <si>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</si>
  <si>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</si>
  <si>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</si>
  <si>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</si>
  <si>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</si>
  <si>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</si>
  <si>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</si>
  <si>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</si>
  <si>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</si>
  <si>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</si>
  <si>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</si>
  <si>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</si>
  <si>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</si>
  <si>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</si>
  <si>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</si>
  <si>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</si>
  <si>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</si>
  <si>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</si>
  <si>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</si>
  <si>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</si>
  <si>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</si>
  <si>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</si>
  <si>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</si>
  <si>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</si>
  <si>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</si>
  <si>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</si>
  <si>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</si>
  <si>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</si>
  <si>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</si>
  <si>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</si>
  <si>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</si>
  <si>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</si>
  <si>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</si>
  <si>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</si>
  <si>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</si>
  <si>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</si>
  <si>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</si>
  <si>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</si>
  <si>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</si>
  <si>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</si>
  <si>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</si>
  <si>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</si>
  <si>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</si>
  <si>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</si>
  <si>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</si>
  <si>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</si>
  <si>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</si>
  <si>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</si>
  <si>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</si>
  <si>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</si>
  <si>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</si>
  <si>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</si>
  <si>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</si>
  <si>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</si>
  <si>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</si>
  <si>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</si>
  <si>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</si>
  <si>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</si>
  <si>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</si>
  <si>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</si>
  <si>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</si>
  <si>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</si>
  <si>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</si>
  <si>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</si>
  <si>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</si>
  <si>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</si>
  <si>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</si>
  <si>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</si>
  <si>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</si>
  <si>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</si>
  <si>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</si>
  <si>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</si>
  <si>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</si>
  <si>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</si>
  <si>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</si>
  <si>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</si>
  <si>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</si>
  <si>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</si>
  <si>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</si>
  <si>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</si>
  <si>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</si>
  <si>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</si>
  <si>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</si>
  <si>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</si>
  <si>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</si>
  <si>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</si>
  <si>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</si>
  <si>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</si>
  <si>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</si>
  <si>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</si>
  <si>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</si>
  <si>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</si>
  <si>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</si>
  <si>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</si>
  <si>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</si>
  <si>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</si>
  <si>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</si>
  <si>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</si>
  <si>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</si>
  <si>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</si>
  <si>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</si>
  <si>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</si>
  <si>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</si>
  <si>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</si>
  <si>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</si>
  <si>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</si>
  <si>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</si>
  <si>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</si>
  <si>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</si>
  <si>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</si>
  <si>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</si>
  <si>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</si>
  <si>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</si>
  <si>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</si>
  <si>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</si>
  <si>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</si>
  <si>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</si>
  <si>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</si>
  <si>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</si>
  <si>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</si>
  <si>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</si>
  <si>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</si>
  <si>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</si>
  <si>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</si>
  <si>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</si>
  <si>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</si>
  <si>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</si>
  <si>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</si>
  <si>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</si>
  <si>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</si>
  <si>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</si>
  <si>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</si>
  <si>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</si>
  <si>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</si>
  <si>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</si>
  <si>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</si>
  <si>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</si>
  <si>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</si>
  <si>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</si>
  <si>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</si>
  <si>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</si>
  <si>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</si>
  <si>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</si>
  <si>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</si>
  <si>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</si>
  <si>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</si>
  <si>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</si>
  <si>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</si>
  <si>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</si>
  <si>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</si>
  <si>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</si>
  <si>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</si>
  <si>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</si>
  <si>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</si>
  <si>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</si>
  <si>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</si>
  <si>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</si>
  <si>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</si>
  <si>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</si>
  <si>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</si>
  <si>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</si>
  <si>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</si>
  <si>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</si>
  <si>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</si>
  <si>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</si>
  <si>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</si>
  <si>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</si>
  <si>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</si>
  <si>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</si>
  <si>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</si>
  <si>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</si>
  <si>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</si>
  <si>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</si>
  <si>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</si>
  <si>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</si>
  <si>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</si>
  <si>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</si>
  <si>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</si>
  <si>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</si>
  <si>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</si>
  <si>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</si>
  <si>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</si>
  <si>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</si>
  <si>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</si>
  <si>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</si>
  <si>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</si>
  <si>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</si>
  <si>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</si>
  <si>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</si>
  <si>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</si>
  <si>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</si>
  <si>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</si>
  <si>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</si>
  <si>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</si>
  <si>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</si>
  <si>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</si>
  <si>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</si>
  <si>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</si>
  <si>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</si>
  <si>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</si>
  <si>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</si>
  <si>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</si>
  <si>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</si>
  <si>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</si>
  <si>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</si>
  <si>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</si>
  <si>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</si>
  <si>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</si>
  <si>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</si>
  <si>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</si>
  <si>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</si>
  <si>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</si>
  <si>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</si>
  <si>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</si>
  <si>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</si>
  <si>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</si>
  <si>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</si>
  <si>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</si>
  <si>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</si>
  <si>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</si>
  <si>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</si>
  <si>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</si>
  <si>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</si>
  <si>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</si>
  <si>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</si>
  <si>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</si>
  <si>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</si>
  <si>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</si>
  <si>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</si>
  <si>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</si>
  <si>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</si>
  <si>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</si>
  <si>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</si>
  <si>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</si>
  <si>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</si>
  <si>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</si>
  <si>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</si>
  <si>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</si>
  <si>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</si>
  <si>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</si>
  <si>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</si>
  <si>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</si>
  <si>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</si>
  <si>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</si>
  <si>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</si>
  <si>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</si>
  <si>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</si>
  <si>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</si>
  <si>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</si>
  <si>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</si>
  <si>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</si>
  <si>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</si>
  <si>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</si>
  <si>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</si>
  <si>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</si>
  <si>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</si>
  <si>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</si>
  <si>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</si>
  <si>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</si>
  <si>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</si>
  <si>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</si>
  <si>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</si>
  <si>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</si>
  <si>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</si>
  <si>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</si>
  <si>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</si>
  <si>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</si>
  <si>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</si>
  <si>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</si>
  <si>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</si>
  <si>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</si>
  <si>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</si>
  <si>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</si>
  <si>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</si>
  <si>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</si>
  <si>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</si>
  <si>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</si>
  <si>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</si>
  <si>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</si>
  <si>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</si>
  <si>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</si>
  <si>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</si>
  <si>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</si>
  <si>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</si>
  <si>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</si>
  <si>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</si>
  <si>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</si>
  <si>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</si>
  <si>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</si>
  <si>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</si>
  <si>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</si>
  <si>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</si>
  <si>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</si>
  <si>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</si>
  <si>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</si>
  <si>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</si>
  <si>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</si>
  <si>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</si>
  <si>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</si>
  <si>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</si>
  <si>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</si>
  <si>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</si>
  <si>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</si>
  <si>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</si>
  <si>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</si>
  <si>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</si>
  <si>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</si>
  <si>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</si>
  <si>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</si>
  <si>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</si>
  <si>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</si>
  <si>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</si>
  <si>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</si>
  <si>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</si>
  <si>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</si>
  <si>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</si>
  <si>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</si>
  <si>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</si>
  <si>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</si>
  <si>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</si>
  <si>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</si>
  <si>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</si>
  <si>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</si>
  <si>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</si>
  <si>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</si>
  <si>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</si>
  <si>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</si>
  <si>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</si>
  <si>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</si>
  <si>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</si>
  <si>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</si>
  <si>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</si>
  <si>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</si>
  <si>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</si>
  <si>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</si>
  <si>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</si>
  <si>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</si>
  <si>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</si>
  <si>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</si>
  <si>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</si>
  <si>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</si>
  <si>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</si>
  <si>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</si>
  <si>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</si>
  <si>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</si>
  <si>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</si>
  <si>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</si>
  <si>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</si>
  <si>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</si>
  <si>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</si>
  <si>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</si>
  <si>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</si>
  <si>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</si>
  <si>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</si>
  <si>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</si>
  <si>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</si>
  <si>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</si>
  <si>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</si>
  <si>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</si>
  <si>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</si>
  <si>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</si>
  <si>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</si>
  <si>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</si>
  <si>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</si>
  <si>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</si>
  <si>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</si>
  <si>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</si>
  <si>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</si>
  <si>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</si>
  <si>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</si>
  <si>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</si>
  <si>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</si>
  <si>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</si>
  <si>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</si>
  <si>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</si>
  <si>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</si>
  <si>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</si>
  <si>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</si>
  <si>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</si>
  <si>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</si>
  <si>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</si>
  <si>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</si>
  <si>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</si>
  <si>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</si>
  <si>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</si>
  <si>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</si>
  <si>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</si>
  <si>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</si>
  <si>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</si>
  <si>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</si>
  <si>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</si>
  <si>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</si>
  <si>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</si>
  <si>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</si>
  <si>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</si>
  <si>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</si>
  <si>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</si>
  <si>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</si>
  <si>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</si>
  <si>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</si>
  <si>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</si>
  <si>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</si>
  <si>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</si>
  <si>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</si>
  <si>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</si>
  <si>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</si>
  <si>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</si>
  <si>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</si>
  <si>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</si>
  <si>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</si>
  <si>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</si>
  <si>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</si>
  <si>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</si>
  <si>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</si>
  <si>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</si>
  <si>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</si>
  <si>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</si>
  <si>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</si>
  <si>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</si>
  <si>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</si>
  <si>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</si>
  <si>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</si>
  <si>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</si>
  <si>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</si>
  <si>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</si>
  <si>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</si>
  <si>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</si>
  <si>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</si>
  <si>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</si>
  <si>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</si>
  <si>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</si>
  <si>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</si>
  <si>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</si>
  <si>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</si>
  <si>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</si>
  <si>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</si>
  <si>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</si>
  <si>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</si>
  <si>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</si>
  <si>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</si>
  <si>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</si>
  <si>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</si>
  <si>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</si>
  <si>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</si>
  <si>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</si>
  <si>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</si>
  <si>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</si>
  <si>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</si>
  <si>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</si>
  <si>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</si>
  <si>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</si>
  <si>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</si>
  <si>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</si>
  <si>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</si>
  <si>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</si>
  <si>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</si>
  <si>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</si>
  <si>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</si>
  <si>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</si>
  <si>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</si>
  <si>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</si>
  <si>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</si>
  <si>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</si>
  <si>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</si>
  <si>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</si>
  <si>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</si>
  <si>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</si>
  <si>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</si>
  <si>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</si>
  <si>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</si>
  <si>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</si>
  <si>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</si>
  <si>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</si>
  <si>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</si>
  <si>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</si>
  <si>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</si>
  <si>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</si>
  <si>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</si>
  <si>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</si>
  <si>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</si>
  <si>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</si>
  <si>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</si>
  <si>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</si>
  <si>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</si>
  <si>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</si>
  <si>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</si>
  <si>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</si>
  <si>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</si>
  <si>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</si>
  <si>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</si>
  <si>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</si>
  <si>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</si>
  <si>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</si>
  <si>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</si>
  <si>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</si>
  <si>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</si>
  <si>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</si>
  <si>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</si>
  <si>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</si>
  <si>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</si>
  <si>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</si>
  <si>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</si>
  <si>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</si>
  <si>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</si>
  <si>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</si>
  <si>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</si>
  <si>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</si>
  <si>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</si>
  <si>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</si>
  <si>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</si>
  <si>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</si>
  <si>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</si>
  <si>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</si>
  <si>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</si>
  <si>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</si>
  <si>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</si>
  <si>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</si>
  <si>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</si>
  <si>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</si>
  <si>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</si>
  <si>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</si>
  <si>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</si>
  <si>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</si>
  <si>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</si>
  <si>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</si>
  <si>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</si>
  <si>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</si>
  <si>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</si>
  <si>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</si>
  <si>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</si>
  <si>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</si>
  <si>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</si>
  <si>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</si>
  <si>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</si>
  <si>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</si>
  <si>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</si>
  <si>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</si>
  <si>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</si>
  <si>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</si>
  <si>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</si>
  <si>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</si>
  <si>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</si>
  <si>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</si>
  <si>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</si>
  <si>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</si>
  <si>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</si>
  <si>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</si>
  <si>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</si>
  <si>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</si>
  <si>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</si>
  <si>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</si>
  <si>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</si>
  <si>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</si>
  <si>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</si>
  <si>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</si>
  <si>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</si>
  <si>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</si>
  <si>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</si>
  <si>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</si>
  <si>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</si>
  <si>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</si>
  <si>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</si>
  <si>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</si>
  <si>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</si>
  <si>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</si>
  <si>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</si>
  <si>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</si>
  <si>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</si>
  <si>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</si>
  <si>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</si>
  <si>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</si>
  <si>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</si>
  <si>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</si>
  <si>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</si>
  <si>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</si>
  <si>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</si>
  <si>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</si>
  <si>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</si>
  <si>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</si>
  <si>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</si>
  <si>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</si>
  <si>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</si>
  <si>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</si>
  <si>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</si>
  <si>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</si>
  <si>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</si>
  <si>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</si>
  <si>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</si>
  <si>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</si>
  <si>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</si>
  <si>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</si>
  <si>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</si>
  <si>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</si>
  <si>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</si>
  <si>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</si>
  <si>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</si>
  <si>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</si>
  <si>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</si>
  <si>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</si>
  <si>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</si>
  <si>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</si>
  <si>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</si>
  <si>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</si>
  <si>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</si>
  <si>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</si>
  <si>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</si>
  <si>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</si>
  <si>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</si>
  <si>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</si>
  <si>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</si>
  <si>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</si>
  <si>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</si>
  <si>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</si>
  <si>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</si>
  <si>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</si>
  <si>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</si>
  <si>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</si>
  <si>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</si>
  <si>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</si>
  <si>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</si>
  <si>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</si>
  <si>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</si>
  <si>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</si>
  <si>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</si>
  <si>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</si>
  <si>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</si>
  <si>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</si>
  <si>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</si>
  <si>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</si>
  <si>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</si>
  <si>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</si>
  <si>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</si>
  <si>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</si>
  <si>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</si>
  <si>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</si>
  <si>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</si>
  <si>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</si>
  <si>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</si>
  <si>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</si>
  <si>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</si>
  <si>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</si>
  <si>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</si>
  <si>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</si>
  <si>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</si>
  <si>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</si>
  <si>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</si>
  <si>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</si>
  <si>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</si>
  <si>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</si>
  <si>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</si>
  <si>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</si>
  <si>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</si>
  <si>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</si>
  <si>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</si>
  <si>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</si>
  <si>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</si>
  <si>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</si>
  <si>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</si>
  <si>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</si>
  <si>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</si>
  <si>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</si>
  <si>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</si>
  <si>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</si>
  <si>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</si>
  <si>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</si>
  <si>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</si>
  <si>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</si>
  <si>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</si>
  <si>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</si>
  <si>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</si>
  <si>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</si>
  <si>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</si>
  <si>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</si>
  <si>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</si>
  <si>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</si>
  <si>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</si>
  <si>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</si>
  <si>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</si>
  <si>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</si>
  <si>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</si>
  <si>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</si>
  <si>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</si>
  <si>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</si>
  <si>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</si>
  <si>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</si>
  <si>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</si>
  <si>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</si>
  <si>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</si>
  <si>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</si>
  <si>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</si>
  <si>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</si>
  <si>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</si>
  <si>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</si>
  <si>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</si>
  <si>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</si>
  <si>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</si>
  <si>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</si>
  <si>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</si>
  <si>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</si>
  <si>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</si>
  <si>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</si>
  <si>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</si>
  <si>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</si>
  <si>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</si>
  <si>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</si>
  <si>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</si>
  <si>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</si>
  <si>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</si>
  <si>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</si>
  <si>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</si>
  <si>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</si>
  <si>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</si>
  <si>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</si>
  <si>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</si>
  <si>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</si>
  <si>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</si>
  <si>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</si>
  <si>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</si>
  <si>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</si>
  <si>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</si>
  <si>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</si>
  <si>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</si>
  <si>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</si>
  <si>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</si>
  <si>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</si>
  <si>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</si>
  <si>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</si>
  <si>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</si>
  <si>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</si>
  <si>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</si>
  <si>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</si>
  <si>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</si>
  <si>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</si>
  <si>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</si>
  <si>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</si>
  <si>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</si>
  <si>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</si>
  <si>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</si>
  <si>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</si>
  <si>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</si>
  <si>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</si>
  <si>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</si>
  <si>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</si>
  <si>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</si>
  <si>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</si>
  <si>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</si>
  <si>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</si>
  <si>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</si>
  <si>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</si>
  <si>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</si>
  <si>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</si>
  <si>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</si>
  <si>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</si>
  <si>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</si>
  <si>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</si>
  <si>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</si>
  <si>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</si>
  <si>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</si>
  <si>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</si>
  <si>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</si>
  <si>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</si>
  <si>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</si>
  <si>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</si>
  <si>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</si>
  <si>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</si>
  <si>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</si>
  <si>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</si>
  <si>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</si>
  <si>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</si>
  <si>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</si>
  <si>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</si>
  <si>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</si>
  <si>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</si>
  <si>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</si>
  <si>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</si>
  <si>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</si>
  <si>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</si>
  <si>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</si>
  <si>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</si>
  <si>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</si>
  <si>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</si>
  <si>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</si>
  <si>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</si>
  <si>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</si>
  <si>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</si>
  <si>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</si>
  <si>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</si>
  <si>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</si>
  <si>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</si>
  <si>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</si>
  <si>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</si>
  <si>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</si>
  <si>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</si>
  <si>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</si>
  <si>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</si>
  <si>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</si>
  <si>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</si>
  <si>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</si>
  <si>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</si>
  <si>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</si>
  <si>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</si>
  <si>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</si>
  <si>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</si>
  <si>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</si>
  <si>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</si>
  <si>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</si>
  <si>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</si>
  <si>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</si>
  <si>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</si>
  <si>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</si>
  <si>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</si>
  <si>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</si>
  <si>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</si>
  <si>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</si>
  <si>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</si>
  <si>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</si>
  <si>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</si>
  <si>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</si>
  <si>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</si>
  <si>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</si>
  <si>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</si>
  <si>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</si>
  <si>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</si>
  <si>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</si>
  <si>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</si>
  <si>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</si>
  <si>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</si>
  <si>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</si>
  <si>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</si>
  <si>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</si>
  <si>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</si>
  <si>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</si>
  <si>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</si>
  <si>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</si>
  <si>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</si>
  <si>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</si>
  <si>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</si>
  <si>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</si>
  <si>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</si>
  <si>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</si>
  <si>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</si>
  <si>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</si>
  <si>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</si>
  <si>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</si>
  <si>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</si>
  <si>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</si>
  <si>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</si>
  <si>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</si>
  <si>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</si>
  <si>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</si>
  <si>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</si>
  <si>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</si>
  <si>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</si>
  <si>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</si>
  <si>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</si>
  <si>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</si>
  <si>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</si>
  <si>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</si>
  <si>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</si>
  <si>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</si>
  <si>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</si>
  <si>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</si>
  <si>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</si>
  <si>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</si>
  <si>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</si>
  <si>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</si>
  <si>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</si>
  <si>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</si>
  <si>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</si>
  <si>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</si>
  <si>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</si>
  <si>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</si>
  <si>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</si>
  <si>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</si>
  <si>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</si>
  <si>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</si>
  <si>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</si>
  <si>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</si>
  <si>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</si>
  <si>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</si>
  <si>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</si>
  <si>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</si>
  <si>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</si>
  <si>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</si>
  <si>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</si>
  <si>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</si>
  <si>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</si>
  <si>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</si>
  <si>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</si>
  <si>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</si>
  <si>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</si>
  <si>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</si>
  <si>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</si>
  <si>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</si>
  <si>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</si>
  <si>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</si>
  <si>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</si>
  <si>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</si>
  <si>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</si>
  <si>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</si>
  <si>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</si>
  <si>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</si>
  <si>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</si>
  <si>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</si>
  <si>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</si>
  <si>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</si>
  <si>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</si>
  <si>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</si>
  <si>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</si>
  <si>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</si>
  <si>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</si>
  <si>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</si>
  <si>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</si>
  <si>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</si>
  <si>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</si>
  <si>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</si>
  <si>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</si>
  <si>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</si>
  <si>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</si>
  <si>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</si>
  <si>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</si>
  <si>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</si>
  <si>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</si>
  <si>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</si>
  <si>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</si>
  <si>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</si>
  <si>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</si>
  <si>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</si>
  <si>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</si>
  <si>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</si>
  <si>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</si>
  <si>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</si>
  <si>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</si>
  <si>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</si>
  <si>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</si>
  <si>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</si>
  <si>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</si>
  <si>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</si>
  <si>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</si>
  <si>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</si>
  <si>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</si>
  <si>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</si>
  <si>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</si>
  <si>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</si>
  <si>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</si>
  <si>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</si>
  <si>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</si>
  <si>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</si>
  <si>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</si>
  <si>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</si>
  <si>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</si>
  <si>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</si>
  <si>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</si>
  <si>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</si>
  <si>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</si>
  <si>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</si>
  <si>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</si>
  <si>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</si>
  <si>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</si>
  <si>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</si>
  <si>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</si>
  <si>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</si>
  <si>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</si>
  <si>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</si>
  <si>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</si>
  <si>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</si>
  <si>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</si>
  <si>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</si>
  <si>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</si>
  <si>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</si>
  <si>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</si>
  <si>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</si>
  <si>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</si>
  <si>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</si>
  <si>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</si>
  <si>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</si>
  <si>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</si>
  <si>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</si>
  <si>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</si>
  <si>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</si>
  <si>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</si>
  <si>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</si>
  <si>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</si>
  <si>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</si>
  <si>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</si>
  <si>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</si>
  <si>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</si>
  <si>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</si>
  <si>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</si>
  <si>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</si>
  <si>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</si>
  <si>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</si>
  <si>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</si>
  <si>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</si>
  <si>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</si>
  <si>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</si>
  <si>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</si>
  <si>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</si>
  <si>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</si>
  <si>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</si>
  <si>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</si>
  <si>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</si>
  <si>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</si>
  <si>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</si>
  <si>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</si>
  <si>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</si>
  <si>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</si>
  <si>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</si>
  <si>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</si>
  <si>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</si>
  <si>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</si>
  <si>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</si>
  <si>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</si>
  <si>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</si>
  <si>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</si>
  <si>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</si>
  <si>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</si>
  <si>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</si>
  <si>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</si>
  <si>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</si>
  <si>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</si>
  <si>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</si>
  <si>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</si>
  <si>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</si>
  <si>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</si>
  <si>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</si>
  <si>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</si>
  <si>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</si>
  <si>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</si>
  <si>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</si>
  <si>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</si>
  <si>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</si>
  <si>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</si>
  <si>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</si>
  <si>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</si>
  <si>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</si>
  <si>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</si>
  <si>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</si>
  <si>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</si>
  <si>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</si>
  <si>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</si>
  <si>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</si>
  <si>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</si>
  <si>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</si>
  <si>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</si>
  <si>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</si>
  <si>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</si>
  <si>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</si>
  <si>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</si>
  <si>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</si>
  <si>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</si>
  <si>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</si>
  <si>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</si>
  <si>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</si>
  <si>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</si>
  <si>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</si>
  <si>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</si>
  <si>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</si>
  <si>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</si>
  <si>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</si>
  <si>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</si>
  <si>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</si>
  <si>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</si>
  <si>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</si>
  <si>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</si>
  <si>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</si>
  <si>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</si>
  <si>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</si>
  <si>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</si>
  <si>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</si>
  <si>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</si>
  <si>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</si>
  <si>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</si>
  <si>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</si>
  <si>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</si>
  <si>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</si>
  <si>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</si>
  <si>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</si>
  <si>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</si>
  <si>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</si>
  <si>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</si>
  <si>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</si>
  <si>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</si>
  <si>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</si>
  <si>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</si>
  <si>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</si>
  <si>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</si>
  <si>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</si>
  <si>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</si>
  <si>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</si>
  <si>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</si>
  <si>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</si>
  <si>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</si>
  <si>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</si>
  <si>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</si>
  <si>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</si>
  <si>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</si>
  <si>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</si>
  <si>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</si>
  <si>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</si>
  <si>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</si>
  <si>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</si>
  <si>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</si>
  <si>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</si>
  <si>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</si>
  <si>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</si>
  <si>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</si>
  <si>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</si>
  <si>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</si>
  <si>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</si>
  <si>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</si>
  <si>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</si>
  <si>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</si>
  <si>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</si>
  <si>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</si>
  <si>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</si>
  <si>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</si>
  <si>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</si>
  <si>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</si>
  <si>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</si>
  <si>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</si>
  <si>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</si>
  <si>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</si>
  <si>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</si>
  <si>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</si>
  <si>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</si>
  <si>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</si>
  <si>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</si>
  <si>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</si>
  <si>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</si>
  <si>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</si>
  <si>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</si>
  <si>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</si>
  <si>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</si>
  <si>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</si>
  <si>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</si>
  <si>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</si>
  <si>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</si>
  <si>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</si>
  <si>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</si>
  <si>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</si>
  <si>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</si>
  <si>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</si>
  <si>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</si>
  <si>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</si>
  <si>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</si>
  <si>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</si>
  <si>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</si>
  <si>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</si>
  <si>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</si>
  <si>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</si>
  <si>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</si>
  <si>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</si>
  <si>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</si>
  <si>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</si>
  <si>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</si>
  <si>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</si>
  <si>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</si>
  <si>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</si>
  <si>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</si>
  <si>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</si>
  <si>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</si>
  <si>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</si>
  <si>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</si>
  <si>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</si>
  <si>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</si>
  <si>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</si>
  <si>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</si>
  <si>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</si>
  <si>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</si>
  <si>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</si>
  <si>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</si>
  <si>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</si>
  <si>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</si>
  <si>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</si>
  <si>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</si>
  <si>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</si>
  <si>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</si>
  <si>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</si>
  <si>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</si>
  <si>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</si>
  <si>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</si>
  <si>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</si>
  <si>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</si>
  <si>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</si>
  <si>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</si>
  <si>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</si>
  <si>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</si>
  <si>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</si>
  <si>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</si>
  <si>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</si>
  <si>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</si>
  <si>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</si>
  <si>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</si>
  <si>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</si>
  <si>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</si>
  <si>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</si>
  <si>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</si>
  <si>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</si>
  <si>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</si>
  <si>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</si>
  <si>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</si>
  <si>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</si>
  <si>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</si>
  <si>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</si>
  <si>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</si>
  <si>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</si>
  <si>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</si>
  <si>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</si>
  <si>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</si>
  <si>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</si>
  <si>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</si>
  <si>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</si>
  <si>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</si>
  <si>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</si>
  <si>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</si>
  <si>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</si>
  <si>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</si>
  <si>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</si>
  <si>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</si>
  <si>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</si>
  <si>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</si>
  <si>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</si>
  <si>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</si>
  <si>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</si>
  <si>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</si>
  <si>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</si>
  <si>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</si>
  <si>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</si>
  <si>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</si>
  <si>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</si>
  <si>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</si>
  <si>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</si>
  <si>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</si>
  <si>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</si>
  <si>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</si>
  <si>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</si>
  <si>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</si>
  <si>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</si>
  <si>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</si>
  <si>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</si>
  <si>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</si>
  <si>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</si>
  <si>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</si>
  <si>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</si>
  <si>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</si>
  <si>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</si>
  <si>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</si>
  <si>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</si>
  <si>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</si>
  <si>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</si>
  <si>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</si>
  <si>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</si>
  <si>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</si>
  <si>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</si>
  <si>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</si>
  <si>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</si>
  <si>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</si>
  <si>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</si>
  <si>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</si>
  <si>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</si>
  <si>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</si>
  <si>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</si>
  <si>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</si>
  <si>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</si>
  <si>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</si>
  <si>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</si>
  <si>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</si>
  <si>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</si>
  <si>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</si>
  <si>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</si>
  <si>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</si>
  <si>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</si>
  <si>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</si>
  <si>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</si>
  <si>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</si>
  <si>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</si>
  <si>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</si>
  <si>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</si>
  <si>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</si>
  <si>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</si>
  <si>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</si>
  <si>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</si>
  <si>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</si>
  <si>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</si>
  <si>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</si>
  <si>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</si>
  <si>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</si>
  <si>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</si>
  <si>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</si>
  <si>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</si>
  <si>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</si>
  <si>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</si>
  <si>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</si>
  <si>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</si>
  <si>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</si>
  <si>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</si>
  <si>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</si>
  <si>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</si>
  <si>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</si>
  <si>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</si>
  <si>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</si>
  <si>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</si>
  <si>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</si>
  <si>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</si>
  <si>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</si>
  <si>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</si>
  <si>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</si>
  <si>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</si>
  <si>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</si>
  <si>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</si>
  <si>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</si>
  <si>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</si>
  <si>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</si>
  <si>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</si>
  <si>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</si>
  <si>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</si>
  <si>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</si>
  <si>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</si>
  <si>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</si>
  <si>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</si>
  <si>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</si>
  <si>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</si>
  <si>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</si>
  <si>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</si>
  <si>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</si>
  <si>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</si>
  <si>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</si>
  <si>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</si>
  <si>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</si>
  <si>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</si>
  <si>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</si>
  <si>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</si>
  <si>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</si>
  <si>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</si>
  <si>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</si>
  <si>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</si>
  <si>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</si>
  <si>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</si>
  <si>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</si>
  <si>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</si>
  <si>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</si>
  <si>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</si>
  <si>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</si>
  <si>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</si>
  <si>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</si>
  <si>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</si>
  <si>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</si>
  <si>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</si>
  <si>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</si>
  <si>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</si>
  <si>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</si>
  <si>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</si>
  <si>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</si>
  <si>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</si>
  <si>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</si>
  <si>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</si>
  <si>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</si>
  <si>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</si>
  <si>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</si>
  <si>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</si>
  <si>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</si>
  <si>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</si>
  <si>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</si>
  <si>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</si>
  <si>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</si>
  <si>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</si>
  <si>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</si>
  <si>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</si>
  <si>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</si>
  <si>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</si>
  <si>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</si>
  <si>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</si>
  <si>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</si>
  <si>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</si>
  <si>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</si>
  <si>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</si>
  <si>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</si>
  <si>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</si>
  <si>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</si>
  <si>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</si>
  <si>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</si>
  <si>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</si>
  <si>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</si>
  <si>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</si>
  <si>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</si>
  <si>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</si>
  <si>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</si>
  <si>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</si>
  <si>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</si>
  <si>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</si>
  <si>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</si>
  <si>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</si>
  <si>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</si>
  <si>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</si>
  <si>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</si>
  <si>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</si>
  <si>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</si>
  <si>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</si>
  <si>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</si>
  <si>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</si>
  <si>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</si>
  <si>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</si>
  <si>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</si>
  <si>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</si>
  <si>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</si>
  <si>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</si>
  <si>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</si>
  <si>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</si>
  <si>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</si>
  <si>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</si>
  <si>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</si>
  <si>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</si>
  <si>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</si>
  <si>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</si>
  <si>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</si>
  <si>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</si>
  <si>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</si>
  <si>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</si>
  <si>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</si>
  <si>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</si>
  <si>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</si>
  <si>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</si>
  <si>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</si>
  <si>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</si>
  <si>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</si>
  <si>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</si>
  <si>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</si>
  <si>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</si>
  <si>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</si>
  <si>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</si>
  <si>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</si>
  <si>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</si>
  <si>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</si>
  <si>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</si>
  <si>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</si>
  <si>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</si>
  <si>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</si>
  <si>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</si>
  <si>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</si>
  <si>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</si>
  <si>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</si>
  <si>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</si>
  <si>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</si>
  <si>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</si>
  <si>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</si>
  <si>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</si>
  <si>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</si>
  <si>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</si>
  <si>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</si>
  <si>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</si>
  <si>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</si>
  <si>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</si>
  <si>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</si>
  <si>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</si>
  <si>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</si>
  <si>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</si>
  <si>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</si>
  <si>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</si>
  <si>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</si>
  <si>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</si>
  <si>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</si>
  <si>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</si>
  <si>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</si>
  <si>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</si>
  <si>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</si>
  <si>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</si>
  <si>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</si>
  <si>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</si>
  <si>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</si>
  <si>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</si>
  <si>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</si>
  <si>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</si>
  <si>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</si>
  <si>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</si>
  <si>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</si>
  <si>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</si>
  <si>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</si>
  <si>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</si>
  <si>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</si>
  <si>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</si>
  <si>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</si>
  <si>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</si>
  <si>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</si>
  <si>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</si>
  <si>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</si>
  <si>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</si>
  <si>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</si>
  <si>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</si>
  <si>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</si>
  <si>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</si>
  <si>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</si>
  <si>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</si>
  <si>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</si>
  <si>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</si>
  <si>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</si>
  <si>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</si>
  <si>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</si>
  <si>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</si>
  <si>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</si>
  <si>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</si>
  <si>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</si>
  <si>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</si>
  <si>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</si>
  <si>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</si>
  <si>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</si>
  <si>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</si>
  <si>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</si>
  <si>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</si>
  <si>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</si>
  <si>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</si>
  <si>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</si>
  <si>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</si>
  <si>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</si>
  <si>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</si>
  <si>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</si>
  <si>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</si>
  <si>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</si>
  <si>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</si>
  <si>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</si>
  <si>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</si>
  <si>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</si>
  <si>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</si>
  <si>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</si>
  <si>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</si>
  <si>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</si>
  <si>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</si>
  <si>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</si>
  <si>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</si>
  <si>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</si>
  <si>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</si>
  <si>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</si>
  <si>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</si>
  <si>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</si>
  <si>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</si>
  <si>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</si>
  <si>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</si>
  <si>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</si>
  <si>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</si>
  <si>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</si>
  <si>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</si>
  <si>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</si>
  <si>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</si>
  <si>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</si>
  <si>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</si>
  <si>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</si>
  <si>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</si>
  <si>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</si>
  <si>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</si>
  <si>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</si>
  <si>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</si>
  <si>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</si>
  <si>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</si>
  <si>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</si>
  <si>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</si>
  <si>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</si>
  <si>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</si>
  <si>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</si>
  <si>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</si>
  <si>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</si>
  <si>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</si>
  <si>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</si>
  <si>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</si>
  <si>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</si>
  <si>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</si>
  <si>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</si>
  <si>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</si>
  <si>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</si>
  <si>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</si>
  <si>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</si>
  <si>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</si>
  <si>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</si>
  <si>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</si>
  <si>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</si>
  <si>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</si>
  <si>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</si>
  <si>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</si>
  <si>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</si>
  <si>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</si>
  <si>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</si>
  <si>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</si>
  <si>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</si>
  <si>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</si>
  <si>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</si>
  <si>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</si>
  <si>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</si>
  <si>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</si>
  <si>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</si>
  <si>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</si>
  <si>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</si>
  <si>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</si>
  <si>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</si>
  <si>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</si>
  <si>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</si>
  <si>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</si>
  <si>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</si>
  <si>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</si>
  <si>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</si>
  <si>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</si>
  <si>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</si>
  <si>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</si>
  <si>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</si>
  <si>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</si>
  <si>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</si>
  <si>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</si>
  <si>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</si>
  <si>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</si>
  <si>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</si>
  <si>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</si>
  <si>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</si>
  <si>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</si>
  <si>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</si>
  <si>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</si>
  <si>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</si>
  <si>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</si>
  <si>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</si>
  <si>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</si>
  <si>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</si>
  <si>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</si>
  <si>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</si>
  <si>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</si>
  <si>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</si>
  <si>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</si>
  <si>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</si>
  <si>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</si>
  <si>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</si>
  <si>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</si>
  <si>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</si>
  <si>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</si>
  <si>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</si>
  <si>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</si>
  <si>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</si>
  <si>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</si>
  <si>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</si>
  <si>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</si>
  <si>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</si>
  <si>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</si>
  <si>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</si>
  <si>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</si>
  <si>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</si>
  <si>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</si>
  <si>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</si>
  <si>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</si>
  <si>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</si>
  <si>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</si>
  <si>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</si>
  <si>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</si>
  <si>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</si>
  <si>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</si>
  <si>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</si>
  <si>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</si>
  <si>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</si>
  <si>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</si>
  <si>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</si>
  <si>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</si>
  <si>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</si>
  <si>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</si>
  <si>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</si>
  <si>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</si>
  <si>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</si>
  <si>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</si>
  <si>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</si>
  <si>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</si>
  <si>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</si>
  <si>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</si>
  <si>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</si>
  <si>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</si>
  <si>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</si>
  <si>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</si>
  <si>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</si>
  <si>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</si>
  <si>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</si>
  <si>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</si>
  <si>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</si>
  <si>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</si>
  <si>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</si>
  <si>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</si>
  <si>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</si>
  <si>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</si>
  <si>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</si>
  <si>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</si>
  <si>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</si>
  <si>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</si>
  <si>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</si>
  <si>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</si>
  <si>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</si>
  <si>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</si>
  <si>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</si>
  <si>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</si>
  <si>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</si>
  <si>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</si>
  <si>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</si>
  <si>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</si>
  <si>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</si>
  <si>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</si>
  <si>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</si>
  <si>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</si>
  <si>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</si>
  <si>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</si>
  <si>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</si>
  <si>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</si>
  <si>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</si>
  <si>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</si>
  <si>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</si>
  <si>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</si>
  <si>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</si>
  <si>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</si>
  <si>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</si>
  <si>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</si>
  <si>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</si>
  <si>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</si>
  <si>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</si>
  <si>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</si>
  <si>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</si>
  <si>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</si>
  <si>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</si>
  <si>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</si>
  <si>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</si>
  <si>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</si>
  <si>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</si>
  <si>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</si>
  <si>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</si>
  <si>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</si>
  <si>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</si>
  <si>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</si>
  <si>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</si>
  <si>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</si>
  <si>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</si>
  <si>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</si>
  <si>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</si>
  <si>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</si>
  <si>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</si>
  <si>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</si>
  <si>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</si>
  <si>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</si>
  <si>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</si>
  <si>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</si>
  <si>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</si>
  <si>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</si>
  <si>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</si>
  <si>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</si>
  <si>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</si>
  <si>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</si>
  <si>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</si>
  <si>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</si>
  <si>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</si>
  <si>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</si>
  <si>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</si>
  <si>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</si>
  <si>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</si>
  <si>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</si>
  <si>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</si>
  <si>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</si>
  <si>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</si>
  <si>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</si>
  <si>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</si>
  <si>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</si>
  <si>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</si>
  <si>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</si>
  <si>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</si>
  <si>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</si>
  <si>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</si>
  <si>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</si>
  <si>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</si>
  <si>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</si>
  <si>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</si>
  <si>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</si>
  <si>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</si>
  <si>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</si>
  <si>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</si>
  <si>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</si>
  <si>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</si>
  <si>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</si>
  <si>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</si>
  <si>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</si>
  <si>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</si>
  <si>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</si>
  <si>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</si>
  <si>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</si>
  <si>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</si>
  <si>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</si>
  <si>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</si>
  <si>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</si>
  <si>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</si>
  <si>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</si>
  <si>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</si>
  <si>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</si>
  <si>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</si>
  <si>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</si>
  <si>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</si>
  <si>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</si>
  <si>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</si>
  <si>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</si>
  <si>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</si>
  <si>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</si>
  <si>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</si>
  <si>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</si>
  <si>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</si>
  <si>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</si>
  <si>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</si>
  <si>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</si>
  <si>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</si>
  <si>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</si>
  <si>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</si>
  <si>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</si>
  <si>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</si>
  <si>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</si>
  <si>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</si>
  <si>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</si>
  <si>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</si>
  <si>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</si>
  <si>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</si>
  <si>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</si>
  <si>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</si>
  <si>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</si>
  <si>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</si>
  <si>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</si>
  <si>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</si>
  <si>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</si>
  <si>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</si>
  <si>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</si>
  <si>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</si>
  <si>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</si>
  <si>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</si>
  <si>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</si>
  <si>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</si>
  <si>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</si>
  <si>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</si>
  <si>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</si>
  <si>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</si>
  <si>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</si>
  <si>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</si>
  <si>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</si>
  <si>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</si>
  <si>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</si>
  <si>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</si>
  <si>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</si>
  <si>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</si>
  <si>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</si>
  <si>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</si>
  <si>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</si>
  <si>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</si>
  <si>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</si>
  <si>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</si>
  <si>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</si>
  <si>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</si>
  <si>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</si>
  <si>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</si>
  <si>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</si>
  <si>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</si>
  <si>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</si>
  <si>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</si>
  <si>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</si>
  <si>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</si>
  <si>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</si>
  <si>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</si>
  <si>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</si>
  <si>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</si>
  <si>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</si>
  <si>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</si>
  <si>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</si>
  <si>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</si>
  <si>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</si>
  <si>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</si>
  <si>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</si>
  <si>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</si>
  <si>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</si>
  <si>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</si>
  <si>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</si>
  <si>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</si>
  <si>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</si>
  <si>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</si>
  <si>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</si>
  <si>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</si>
  <si>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</si>
  <si>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</si>
  <si>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</si>
  <si>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</si>
  <si>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</si>
  <si>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</si>
  <si>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</si>
  <si>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</si>
  <si>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</si>
  <si>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</si>
  <si>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</si>
  <si>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</si>
  <si>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</si>
  <si>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</si>
  <si>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</si>
  <si>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</si>
  <si>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</si>
  <si>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</si>
  <si>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</si>
  <si>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</si>
  <si>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</si>
  <si>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</si>
  <si>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</si>
  <si>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</si>
  <si>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</si>
  <si>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</si>
  <si>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</si>
  <si>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</si>
  <si>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</si>
  <si>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</si>
  <si>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</si>
  <si>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</si>
  <si>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</si>
  <si>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</si>
  <si>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</si>
  <si>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</si>
  <si>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</si>
  <si>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</si>
  <si>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</si>
  <si>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</si>
  <si>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</si>
  <si>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</si>
  <si>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</si>
  <si>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</si>
  <si>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</si>
  <si>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</si>
  <si>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</si>
  <si>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</si>
  <si>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</si>
  <si>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</si>
  <si>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</si>
  <si>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</si>
  <si>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</si>
  <si>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</si>
  <si>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</si>
  <si>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</si>
  <si>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</si>
  <si>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</si>
  <si>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</si>
  <si>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</si>
  <si>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</si>
  <si>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</si>
  <si>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</si>
  <si>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</si>
  <si>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</si>
  <si>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</si>
  <si>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</si>
  <si>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</si>
  <si>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</si>
  <si>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</si>
  <si>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</si>
  <si>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</si>
  <si>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</si>
  <si>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</si>
  <si>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</si>
  <si>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</si>
  <si>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</si>
  <si>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</si>
  <si>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</si>
  <si>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</si>
  <si>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</si>
  <si>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</si>
  <si>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</si>
  <si>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</si>
  <si>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</si>
  <si>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</si>
  <si>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</si>
  <si>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</si>
  <si>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</si>
  <si>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</si>
  <si>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</si>
  <si>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</si>
  <si>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</si>
  <si>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</si>
  <si>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</si>
  <si>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</si>
  <si>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</si>
  <si>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</si>
  <si>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</si>
  <si>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</si>
  <si>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</si>
  <si>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</si>
  <si>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</si>
  <si>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</si>
  <si>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</si>
  <si>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</si>
  <si>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</si>
  <si>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</si>
  <si>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</si>
  <si>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</si>
  <si>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</si>
  <si>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</si>
  <si>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</si>
  <si>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</si>
  <si>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</si>
  <si>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</si>
  <si>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</si>
  <si>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</si>
  <si>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</si>
  <si>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</si>
  <si>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</si>
  <si>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</si>
  <si>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</si>
  <si>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</si>
  <si>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</si>
  <si>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</si>
  <si>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</si>
  <si>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</si>
  <si>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</si>
  <si>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</si>
  <si>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</si>
  <si>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</si>
  <si>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</si>
  <si>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</si>
  <si>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</si>
  <si>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</si>
  <si>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</si>
  <si>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</si>
  <si>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</si>
  <si>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</si>
  <si>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</si>
  <si>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</si>
  <si>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</si>
  <si>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</si>
  <si>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</si>
  <si>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</si>
  <si>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</si>
  <si>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</si>
  <si>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</si>
  <si>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</si>
  <si>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</si>
  <si>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</si>
  <si>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</si>
  <si>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</si>
  <si>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</si>
  <si>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</si>
  <si>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</si>
  <si>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</si>
  <si>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</si>
  <si>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</si>
  <si>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</si>
  <si>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</si>
  <si>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</si>
  <si>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</si>
  <si>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</si>
  <si>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</si>
  <si>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</si>
  <si>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</si>
  <si>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</si>
  <si>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</si>
  <si>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</si>
  <si>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</si>
  <si>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</si>
  <si>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</si>
  <si>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</si>
  <si>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</si>
  <si>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</si>
  <si>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</si>
  <si>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</si>
  <si>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</si>
  <si>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</si>
  <si>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</si>
  <si>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</si>
  <si>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</si>
  <si>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</si>
  <si>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</si>
  <si>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</si>
  <si>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</si>
  <si>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</si>
  <si>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</si>
  <si>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</si>
  <si>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</si>
  <si>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</si>
  <si>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</si>
  <si>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</si>
  <si>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</si>
  <si>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</si>
  <si>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</si>
  <si>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</si>
  <si>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</si>
  <si>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</si>
  <si>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</si>
  <si>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</si>
  <si>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</si>
  <si>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</si>
  <si>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</si>
  <si>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</si>
  <si>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</si>
  <si>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</si>
  <si>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</si>
  <si>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</si>
  <si>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</si>
  <si>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</si>
  <si>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</si>
  <si>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</si>
  <si>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</si>
  <si>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</si>
  <si>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</si>
  <si>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</si>
  <si>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</si>
  <si>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</si>
  <si>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</si>
  <si>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</si>
  <si>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</si>
  <si>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</si>
  <si>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</si>
  <si>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</si>
  <si>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</si>
  <si>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</si>
  <si>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</si>
  <si>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</si>
  <si>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</si>
  <si>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</si>
  <si>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</si>
  <si>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</si>
  <si>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</si>
  <si>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</si>
  <si>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</si>
  <si>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</si>
  <si>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</si>
  <si>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</si>
  <si>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</si>
  <si>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</si>
  <si>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</si>
  <si>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</si>
  <si>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</si>
  <si>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</si>
  <si>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</si>
  <si>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</si>
  <si>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</si>
  <si>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</si>
  <si>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</si>
  <si>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</si>
  <si>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</si>
  <si>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</si>
  <si>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</si>
  <si>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</si>
  <si>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</si>
  <si>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</si>
  <si>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</si>
  <si>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</si>
  <si>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</si>
  <si>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</si>
  <si>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</si>
  <si>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</si>
  <si>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</si>
  <si>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</si>
  <si>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</si>
  <si>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</si>
  <si>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</si>
  <si>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</si>
  <si>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</si>
  <si>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</si>
  <si>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</si>
  <si>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</si>
  <si>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</si>
  <si>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</si>
  <si>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</si>
  <si>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</si>
  <si>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</si>
  <si>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</si>
  <si>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</si>
  <si>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</si>
  <si>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</si>
  <si>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</si>
  <si>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</si>
  <si>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</si>
  <si>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</si>
  <si>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</si>
  <si>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</si>
  <si>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</si>
  <si>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</si>
  <si>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</si>
  <si>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</si>
  <si>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</si>
  <si>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</si>
  <si>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</si>
  <si>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</si>
  <si>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</si>
  <si>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</si>
  <si>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</si>
  <si>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</si>
  <si>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</si>
  <si>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</si>
  <si>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</si>
  <si>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</si>
  <si>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</si>
  <si>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</si>
  <si>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</si>
  <si>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</si>
  <si>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</si>
  <si>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</si>
  <si>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</si>
  <si>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</si>
  <si>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</si>
  <si>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</si>
  <si>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</si>
  <si>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</si>
  <si>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</si>
  <si>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</si>
  <si>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</si>
  <si>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</si>
  <si>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</si>
  <si>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</si>
  <si>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</si>
  <si>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</si>
  <si>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</si>
  <si>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</si>
  <si>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</si>
  <si>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</si>
  <si>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</si>
  <si>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</si>
  <si>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</si>
  <si>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</si>
  <si>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</si>
  <si>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</si>
  <si>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</si>
  <si>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</si>
  <si>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</si>
  <si>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</si>
  <si>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</si>
  <si>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</si>
  <si>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</si>
  <si>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</si>
  <si>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</si>
  <si>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</si>
  <si>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</si>
  <si>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</si>
  <si>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</si>
  <si>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</si>
  <si>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</si>
  <si>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</si>
  <si>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</si>
  <si>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</si>
  <si>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</si>
  <si>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</si>
  <si>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</si>
  <si>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</si>
  <si>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</si>
  <si>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</si>
  <si>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</si>
  <si>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</si>
  <si>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</si>
  <si>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</si>
  <si>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</si>
  <si>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</si>
  <si>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</si>
  <si>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</si>
  <si>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</si>
  <si>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</si>
  <si>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</si>
  <si>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</si>
  <si>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</si>
  <si>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</si>
  <si>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</si>
  <si>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</si>
  <si>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</si>
  <si>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</si>
  <si>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</si>
  <si>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</si>
  <si>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</si>
  <si>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</si>
  <si>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</si>
  <si>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</si>
  <si>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</si>
  <si>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</si>
  <si>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</si>
  <si>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</si>
  <si>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</si>
  <si>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</si>
  <si>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</si>
  <si>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</si>
  <si>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</si>
  <si>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</si>
  <si>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</si>
  <si>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</si>
  <si>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</si>
  <si>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</si>
  <si>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</si>
  <si>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</si>
  <si>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</si>
  <si>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</si>
  <si>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</si>
  <si>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</si>
  <si>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</si>
  <si>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</si>
  <si>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</si>
  <si>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</si>
  <si>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</si>
  <si>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</si>
  <si>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</si>
  <si>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</si>
  <si>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</si>
  <si>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</si>
  <si>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</si>
  <si>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</si>
  <si>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</si>
  <si>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</si>
  <si>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</si>
  <si>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</si>
  <si>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</si>
  <si>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</si>
  <si>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</si>
  <si>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</si>
  <si>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</si>
  <si>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</si>
  <si>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</si>
  <si>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</si>
  <si>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</si>
  <si>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</si>
  <si>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</si>
  <si>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</si>
  <si>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</si>
  <si>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</si>
  <si>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</si>
  <si>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</si>
  <si>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</si>
  <si>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</si>
  <si>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</si>
  <si>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</si>
  <si>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</si>
  <si>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</si>
  <si>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</si>
  <si>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</si>
  <si>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</si>
  <si>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</si>
  <si>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</si>
  <si>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</si>
  <si>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</si>
  <si>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</si>
  <si>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</si>
  <si>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</si>
  <si>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</si>
  <si>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</si>
  <si>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</si>
  <si>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</si>
  <si>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</si>
  <si>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</si>
  <si>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</si>
  <si>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</si>
  <si>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</si>
  <si>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</si>
  <si>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</si>
  <si>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</si>
  <si>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</si>
  <si>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</si>
  <si>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</si>
  <si>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</si>
  <si>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</si>
  <si>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</si>
  <si>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</si>
  <si>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</si>
  <si>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</si>
  <si>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</si>
  <si>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</si>
  <si>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</si>
  <si>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</si>
  <si>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</si>
  <si>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</si>
  <si>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</si>
  <si>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</si>
  <si>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</si>
  <si>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</si>
  <si>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</si>
  <si>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</si>
  <si>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</si>
  <si>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</si>
  <si>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</si>
  <si>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</si>
  <si>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</si>
  <si>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</si>
  <si>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</si>
  <si>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</si>
  <si>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</si>
  <si>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</si>
  <si>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</si>
  <si>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</si>
  <si>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</si>
  <si>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</si>
  <si>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</si>
  <si>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</si>
  <si>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</si>
  <si>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</si>
  <si>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</si>
  <si>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</si>
  <si>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</si>
  <si>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</si>
  <si>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</si>
  <si>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</si>
  <si>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</si>
  <si>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</si>
  <si>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</si>
  <si>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</si>
  <si>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</si>
  <si>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</si>
  <si>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</si>
  <si>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</si>
  <si>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</si>
  <si>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</si>
  <si>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</si>
  <si>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</si>
  <si>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</si>
  <si>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</si>
  <si>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</si>
  <si>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</si>
  <si>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</si>
  <si>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</si>
  <si>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</si>
  <si>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</si>
  <si>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</si>
  <si>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</si>
  <si>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</si>
  <si>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</si>
  <si>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</si>
  <si>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</si>
  <si>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</si>
  <si>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</si>
  <si>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</si>
  <si>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</si>
  <si>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</si>
  <si>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</si>
  <si>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</si>
  <si>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</si>
  <si>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</si>
  <si>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</si>
  <si>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</si>
  <si>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</si>
  <si>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</si>
  <si>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</si>
  <si>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</si>
  <si>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</si>
  <si>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</si>
  <si>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</si>
  <si>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</si>
  <si>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</si>
  <si>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</si>
  <si>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</si>
  <si>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</si>
  <si>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</si>
  <si>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</si>
  <si>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</si>
  <si>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</si>
  <si>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</si>
  <si>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</si>
  <si>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</si>
  <si>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</si>
  <si>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</si>
  <si>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</si>
  <si>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</si>
  <si>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</si>
  <si>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</si>
  <si>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</si>
  <si>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</si>
  <si>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</si>
  <si>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</si>
  <si>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</si>
  <si>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</si>
  <si>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</si>
  <si>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</si>
  <si>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</si>
  <si>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</si>
  <si>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</si>
  <si>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</si>
  <si>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</si>
  <si>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</si>
  <si>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</si>
  <si>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</si>
  <si>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</si>
  <si>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</si>
  <si>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</si>
  <si>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</si>
  <si>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</si>
  <si>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</si>
  <si>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</si>
  <si>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</si>
  <si>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</si>
  <si>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</si>
  <si>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</si>
  <si>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</si>
  <si>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</si>
  <si>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</si>
  <si>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</si>
  <si>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</si>
  <si>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</si>
  <si>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</si>
  <si>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</si>
  <si>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</si>
  <si>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</si>
  <si>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</si>
  <si>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</si>
  <si>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</si>
  <si>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</si>
  <si>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</si>
  <si>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</si>
  <si>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</si>
  <si>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</si>
  <si>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</si>
  <si>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</si>
  <si>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</si>
  <si>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</si>
  <si>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</si>
  <si>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</si>
  <si>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</si>
  <si>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</si>
  <si>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</si>
  <si>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</si>
  <si>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</si>
  <si>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</si>
  <si>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</si>
  <si>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</si>
  <si>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</si>
  <si>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</si>
  <si>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</si>
  <si>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</si>
  <si>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</si>
  <si>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</si>
  <si>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</si>
  <si>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</si>
  <si>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</si>
  <si>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</si>
  <si>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</si>
  <si>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</si>
  <si>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</si>
  <si>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</si>
  <si>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</si>
  <si>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</si>
  <si>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</si>
  <si>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</si>
  <si>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</si>
  <si>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</si>
  <si>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</si>
  <si>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</si>
  <si>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</si>
  <si>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</si>
  <si>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</si>
  <si>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</si>
  <si>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</si>
  <si>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</si>
  <si>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</si>
  <si>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</si>
  <si>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</si>
  <si>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</si>
  <si>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</si>
  <si>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</si>
  <si>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</si>
  <si>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</si>
  <si>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</si>
  <si>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</si>
  <si>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</si>
  <si>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</si>
  <si>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</si>
  <si>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</si>
  <si>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</si>
  <si>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</si>
  <si>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</si>
  <si>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</si>
  <si>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</si>
  <si>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</si>
  <si>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</si>
  <si>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</si>
  <si>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</si>
  <si>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</si>
  <si>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</si>
  <si>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</si>
  <si>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</si>
  <si>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</si>
  <si>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</si>
  <si>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</si>
  <si>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</si>
  <si>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</si>
  <si>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</si>
  <si>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</si>
  <si>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</si>
  <si>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</si>
  <si>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</si>
  <si>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</si>
  <si>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</si>
  <si>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</si>
  <si>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</si>
  <si>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</si>
  <si>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</si>
  <si>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</si>
  <si>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</si>
  <si>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</si>
  <si>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</si>
  <si>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</si>
  <si>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</si>
  <si>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</si>
  <si>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</si>
  <si>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</si>
  <si>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</si>
  <si>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</si>
  <si>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</si>
  <si>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</si>
  <si>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</si>
  <si>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</si>
  <si>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</si>
  <si>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</si>
  <si>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</si>
  <si>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</si>
  <si>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</si>
  <si>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</si>
  <si>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</si>
  <si>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</si>
  <si>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</si>
  <si>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</si>
  <si>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</si>
  <si>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</si>
  <si>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</si>
  <si>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</si>
  <si>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</si>
  <si>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</si>
  <si>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</si>
  <si>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</si>
  <si>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</si>
  <si>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</si>
  <si>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</si>
  <si>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</si>
  <si>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</si>
  <si>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</si>
  <si>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</si>
  <si>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</si>
  <si>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</si>
  <si>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</si>
  <si>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</si>
  <si>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</si>
  <si>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</si>
  <si>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</si>
  <si>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</si>
  <si>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</si>
  <si>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</si>
  <si>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</si>
  <si>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</si>
  <si>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</si>
  <si>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</si>
  <si>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</si>
  <si>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</si>
  <si>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</si>
  <si>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</si>
  <si>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</si>
  <si>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</si>
  <si>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</si>
  <si>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</si>
  <si>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</si>
  <si>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</si>
  <si>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</si>
  <si>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</si>
  <si>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</si>
  <si>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</si>
  <si>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</si>
  <si>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</si>
  <si>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</si>
  <si>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</si>
  <si>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</si>
  <si>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</si>
  <si>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</si>
  <si>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</si>
  <si>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</si>
  <si>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</si>
  <si>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</si>
  <si>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</si>
  <si>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</si>
  <si>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</si>
  <si>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</si>
  <si>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</si>
  <si>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</si>
  <si>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</si>
  <si>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</si>
  <si>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</si>
  <si>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</si>
  <si>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</si>
  <si>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</si>
  <si>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</si>
  <si>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</si>
  <si>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</si>
  <si>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</si>
  <si>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</si>
  <si>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</si>
  <si>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</si>
  <si>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</si>
  <si>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</si>
  <si>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</si>
  <si>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</si>
  <si>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</si>
  <si>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</si>
  <si>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</si>
  <si>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</si>
  <si>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</si>
  <si>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</si>
  <si>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</si>
  <si>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</si>
  <si>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</si>
  <si>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</si>
  <si>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</si>
  <si>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</si>
  <si>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</si>
  <si>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</si>
  <si>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</si>
  <si>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</si>
  <si>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</si>
  <si>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</si>
  <si>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</si>
  <si>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</si>
  <si>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</si>
  <si>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</si>
  <si>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</si>
  <si>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</si>
  <si>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</si>
  <si>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</si>
  <si>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</si>
  <si>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</si>
  <si>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</si>
  <si>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</si>
  <si>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</si>
  <si>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</si>
  <si>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</si>
  <si>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</si>
  <si>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</si>
  <si>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</si>
  <si>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</si>
  <si>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</si>
  <si>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</si>
  <si>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</si>
  <si>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</si>
  <si>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</si>
  <si>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</si>
  <si>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</si>
  <si>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</si>
  <si>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</si>
  <si>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</si>
  <si>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</si>
  <si>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</si>
  <si>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</si>
  <si>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</si>
  <si>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</si>
  <si>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</si>
  <si>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</si>
  <si>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</si>
  <si>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</si>
  <si>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</si>
  <si>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</si>
  <si>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</si>
  <si>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</si>
  <si>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</si>
  <si>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</si>
  <si>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</si>
  <si>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</si>
  <si>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</si>
  <si>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</si>
  <si>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</si>
  <si>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</si>
  <si>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</si>
  <si>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</si>
  <si>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</si>
  <si>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</si>
  <si>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</si>
  <si>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</si>
  <si>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</si>
  <si>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</si>
  <si>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</si>
  <si>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</si>
  <si>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</si>
  <si>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</si>
  <si>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</si>
  <si>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</si>
  <si>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</si>
  <si>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</si>
  <si>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</si>
  <si>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</si>
  <si>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</si>
  <si>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</si>
  <si>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</si>
  <si>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</si>
  <si>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</si>
  <si>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</si>
  <si>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</si>
  <si>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</si>
  <si>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</si>
  <si>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</si>
  <si>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</si>
  <si>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</si>
  <si>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</si>
  <si>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</si>
  <si>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</si>
  <si>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</si>
  <si>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</si>
  <si>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</si>
  <si>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</si>
  <si>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</si>
  <si>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</si>
  <si>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</si>
  <si>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</si>
  <si>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</si>
  <si>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</si>
  <si>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</si>
  <si>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</si>
  <si>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</si>
  <si>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</si>
  <si>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</si>
  <si>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</si>
  <si>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</si>
  <si>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</si>
  <si>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</si>
  <si>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</si>
  <si>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</si>
  <si>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</si>
  <si>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</si>
  <si>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</si>
  <si>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</si>
  <si>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</si>
  <si>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</si>
  <si>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</si>
  <si>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</si>
  <si>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</si>
  <si>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</si>
  <si>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</si>
  <si>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</si>
  <si>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</si>
  <si>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</si>
  <si>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</si>
  <si>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</si>
  <si>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</si>
  <si>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</si>
  <si>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</si>
  <si>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</si>
  <si>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</si>
  <si>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</si>
  <si>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</si>
  <si>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</si>
  <si>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</si>
  <si>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</si>
  <si>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</si>
  <si>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</si>
  <si>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</si>
  <si>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</si>
  <si>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</si>
  <si>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</si>
  <si>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</si>
  <si>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</si>
  <si>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</si>
  <si>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</si>
  <si>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</si>
  <si>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</si>
  <si>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</si>
  <si>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</si>
  <si>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</si>
  <si>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</si>
  <si>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</si>
  <si>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</si>
  <si>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</si>
  <si>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</si>
  <si>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</si>
  <si>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</si>
  <si>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</si>
  <si>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</si>
  <si>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</si>
  <si>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</si>
  <si>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</si>
  <si>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</si>
  <si>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</si>
  <si>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</si>
  <si>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</si>
  <si>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</si>
  <si>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</si>
  <si>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</si>
  <si>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</si>
  <si>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</si>
  <si>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</si>
  <si>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</si>
  <si>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</si>
  <si>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</si>
  <si>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</si>
  <si>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</si>
  <si>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</si>
  <si>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</si>
  <si>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</si>
  <si>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</si>
  <si>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</si>
  <si>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</si>
  <si>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</si>
  <si>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</si>
  <si>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</si>
  <si>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</si>
  <si>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</si>
  <si>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</si>
  <si>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</si>
  <si>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</si>
  <si>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</si>
  <si>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</si>
  <si>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</si>
  <si>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</si>
  <si>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</si>
  <si>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</si>
  <si>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</si>
  <si>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</si>
  <si>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</si>
  <si>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</si>
  <si>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</si>
  <si>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</si>
  <si>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</si>
  <si>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</si>
  <si>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</si>
  <si>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</si>
  <si>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</si>
  <si>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</si>
  <si>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</si>
  <si>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</si>
  <si>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</si>
  <si>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</si>
  <si>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</si>
  <si>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</si>
  <si>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</si>
  <si>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</si>
  <si>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</si>
  <si>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</si>
  <si>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</si>
  <si>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</si>
  <si>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</si>
  <si>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</si>
  <si>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</si>
  <si>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</si>
  <si>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</si>
  <si>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</si>
  <si>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</si>
  <si>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</si>
  <si>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</si>
  <si>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</si>
  <si>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</si>
  <si>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</si>
  <si>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</si>
  <si>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</si>
  <si>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</si>
  <si>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</si>
  <si>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</si>
  <si>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</si>
  <si>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</si>
  <si>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</si>
  <si>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</si>
  <si>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</si>
  <si>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</si>
  <si>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</si>
  <si>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</si>
  <si>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</si>
  <si>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</si>
  <si>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</si>
  <si>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</si>
  <si>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</si>
  <si>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</si>
  <si>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</si>
  <si>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</si>
  <si>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</si>
  <si>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</si>
  <si>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</si>
  <si>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</si>
  <si>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</si>
  <si>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</si>
  <si>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</si>
  <si>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</si>
  <si>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</si>
  <si>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</si>
  <si>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</si>
  <si>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</si>
  <si>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</si>
  <si>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</si>
  <si>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</si>
  <si>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</si>
  <si>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</si>
  <si>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</si>
  <si>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</si>
  <si>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</si>
  <si>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</si>
  <si>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</si>
  <si>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</si>
  <si>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</si>
  <si>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</si>
  <si>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</si>
  <si>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</si>
  <si>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</si>
  <si>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</si>
  <si>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</si>
  <si>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</si>
  <si>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</si>
  <si>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</si>
  <si>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</si>
  <si>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</si>
  <si>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</si>
  <si>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</si>
  <si>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</si>
  <si>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</si>
  <si>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</si>
  <si>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</si>
  <si>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</si>
  <si>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</si>
  <si>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</si>
  <si>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</si>
  <si>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</si>
  <si>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</si>
  <si>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</si>
  <si>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</si>
  <si>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</si>
  <si>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</si>
  <si>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</si>
  <si>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</si>
  <si>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</si>
  <si>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</si>
  <si>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</si>
  <si>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</si>
  <si>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</si>
  <si>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</si>
  <si>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</si>
  <si>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</si>
  <si>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</si>
  <si>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</si>
  <si>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</si>
  <si>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</si>
  <si>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</si>
  <si>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</si>
  <si>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</si>
  <si>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</si>
  <si>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</si>
  <si>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</si>
  <si>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</si>
  <si>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</si>
  <si>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</si>
  <si>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</si>
  <si>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</si>
  <si>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</si>
  <si>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</si>
  <si>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</si>
  <si>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</si>
  <si>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</si>
  <si>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</si>
  <si>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</si>
  <si>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</si>
  <si>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</si>
  <si>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</si>
  <si>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</si>
  <si>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</si>
  <si>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</si>
  <si>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</si>
  <si>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</si>
  <si>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</si>
  <si>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</si>
  <si>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</si>
  <si>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</si>
  <si>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</si>
  <si>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</si>
  <si>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</si>
  <si>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</si>
  <si>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</si>
  <si>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</si>
  <si>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</si>
  <si>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</si>
  <si>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</si>
  <si>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</si>
  <si>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</si>
  <si>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</si>
  <si>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</si>
  <si>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</si>
  <si>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</si>
  <si>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</si>
  <si>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</si>
  <si>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</si>
  <si>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</si>
  <si>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</si>
  <si>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</si>
  <si>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</si>
  <si>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</si>
  <si>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</si>
  <si>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</si>
  <si>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</si>
  <si>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</si>
  <si>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</si>
  <si>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</si>
  <si>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</si>
  <si>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</si>
  <si>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</si>
  <si>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</si>
  <si>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</si>
  <si>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</si>
  <si>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</si>
  <si>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</si>
  <si>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</si>
  <si>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</si>
  <si>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</si>
  <si>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</si>
  <si>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</si>
  <si>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</si>
  <si>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</si>
  <si>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</si>
  <si>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</si>
  <si>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</si>
  <si>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</si>
  <si>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</si>
  <si>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</si>
  <si>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</si>
  <si>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</si>
  <si>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</si>
  <si>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</si>
  <si>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</si>
  <si>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</si>
  <si>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</si>
  <si>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</si>
  <si>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</si>
  <si>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</si>
  <si>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</si>
  <si>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</si>
  <si>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</si>
  <si>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</si>
  <si>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</si>
  <si>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</si>
  <si>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</si>
  <si>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</si>
  <si>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</si>
  <si>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</si>
  <si>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</si>
  <si>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</si>
  <si>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</si>
  <si>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</si>
  <si>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</si>
  <si>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</si>
  <si>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</si>
  <si>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</si>
  <si>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</si>
  <si>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</si>
  <si>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</si>
  <si>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</si>
  <si>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</si>
  <si>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</si>
  <si>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</si>
  <si>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</si>
  <si>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</si>
  <si>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</si>
  <si>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</si>
  <si>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</si>
  <si>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</si>
  <si>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</si>
  <si>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</si>
  <si>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</si>
  <si>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</si>
  <si>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</si>
  <si>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</si>
  <si>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</si>
  <si>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</si>
  <si>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</si>
  <si>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</si>
  <si>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</si>
  <si>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</si>
  <si>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</si>
  <si>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</si>
  <si>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</si>
  <si>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</si>
  <si>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</si>
  <si>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</si>
  <si>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</si>
  <si>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</si>
  <si>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</si>
  <si>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</si>
  <si>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</si>
  <si>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</si>
  <si>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</si>
  <si>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</si>
  <si>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</si>
  <si>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</si>
  <si>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</si>
  <si>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</si>
  <si>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</si>
  <si>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</si>
  <si>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</si>
  <si>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</si>
  <si>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</si>
  <si>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</si>
  <si>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</si>
  <si>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</si>
  <si>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</si>
  <si>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</si>
  <si>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</si>
  <si>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</si>
  <si>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</si>
  <si>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</si>
  <si>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</si>
  <si>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</si>
  <si>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</si>
  <si>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</si>
  <si>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</si>
  <si>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</si>
  <si>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</si>
  <si>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</si>
  <si>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</si>
  <si>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</si>
  <si>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</si>
  <si>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</si>
  <si>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</si>
  <si>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</si>
  <si>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</si>
  <si>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</si>
  <si>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</si>
  <si>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</si>
  <si>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</si>
  <si>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</si>
  <si>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</si>
  <si>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</si>
  <si>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</si>
  <si>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</si>
  <si>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</si>
  <si>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</si>
  <si>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</si>
  <si>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</si>
  <si>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</si>
  <si>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</si>
  <si>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</si>
  <si>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</si>
  <si>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</si>
  <si>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</si>
  <si>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</si>
  <si>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</si>
  <si>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</si>
  <si>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</si>
  <si>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</si>
  <si>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</si>
  <si>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</si>
  <si>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</si>
  <si>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</si>
  <si>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</si>
  <si>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</si>
  <si>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</si>
  <si>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</si>
  <si>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</si>
  <si>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</si>
  <si>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</si>
  <si>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</si>
  <si>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</si>
  <si>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</si>
  <si>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</si>
  <si>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</si>
  <si>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</si>
  <si>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</si>
  <si>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</si>
  <si>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</si>
  <si>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</si>
  <si>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</si>
  <si>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</si>
  <si>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</si>
  <si>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</si>
  <si>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</si>
  <si>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</si>
  <si>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</si>
  <si>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</si>
  <si>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</si>
  <si>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</si>
  <si>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</si>
  <si>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</si>
  <si>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</si>
  <si>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</si>
  <si>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</si>
  <si>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</si>
  <si>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</si>
  <si>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</si>
  <si>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</si>
  <si>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</si>
  <si>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</si>
  <si>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</si>
  <si>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</si>
  <si>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</si>
  <si>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</si>
  <si>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</si>
  <si>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</si>
  <si>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</si>
  <si>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</si>
  <si>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</si>
  <si>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</si>
  <si>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</si>
  <si>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</si>
  <si>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</si>
  <si>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</si>
  <si>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</si>
  <si>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</si>
  <si>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</si>
  <si>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</si>
  <si>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</si>
  <si>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</si>
  <si>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</si>
  <si>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</si>
  <si>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</si>
  <si>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</si>
  <si>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</si>
  <si>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</si>
  <si>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</si>
  <si>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</si>
  <si>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</si>
  <si>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</si>
  <si>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</si>
  <si>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</si>
  <si>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</si>
  <si>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</si>
  <si>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</si>
  <si>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</si>
  <si>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</si>
  <si>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</si>
  <si>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</si>
  <si>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</si>
  <si>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</si>
  <si>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</si>
  <si>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</si>
  <si>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</si>
  <si>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</si>
  <si>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</si>
  <si>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</si>
  <si>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</si>
  <si>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</si>
  <si>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</si>
  <si>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</si>
  <si>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</si>
  <si>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</si>
  <si>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</si>
  <si>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</si>
  <si>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</si>
  <si>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</si>
  <si>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</si>
  <si>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</si>
  <si>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</si>
  <si>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</si>
  <si>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</si>
  <si>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</si>
  <si>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</si>
  <si>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</si>
  <si>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</si>
  <si>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</si>
  <si>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</si>
  <si>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</si>
  <si>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</si>
  <si>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</si>
  <si>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</si>
  <si>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</si>
  <si>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</si>
  <si>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</si>
  <si>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</si>
  <si>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</si>
  <si>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</si>
  <si>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</si>
  <si>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</si>
  <si>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</si>
  <si>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</si>
  <si>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</si>
  <si>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</si>
  <si>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</si>
  <si>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</si>
  <si>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</si>
  <si>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</si>
  <si>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</si>
  <si>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</si>
  <si>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</si>
  <si>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</si>
  <si>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</si>
  <si>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</si>
  <si>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</si>
  <si>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</si>
  <si>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</si>
  <si>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</si>
  <si>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</si>
  <si>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</si>
  <si>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</si>
  <si>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</si>
  <si>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</si>
  <si>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</si>
  <si>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</si>
  <si>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</si>
  <si>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</si>
  <si>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</si>
  <si>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</si>
  <si>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</si>
  <si>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</si>
  <si>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</si>
  <si>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</si>
  <si>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</si>
  <si>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</si>
  <si>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</si>
  <si>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</si>
  <si>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</si>
  <si>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</si>
  <si>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</si>
  <si>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</si>
  <si>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</si>
  <si>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</si>
  <si>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</si>
  <si>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</si>
  <si>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</si>
  <si>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</si>
  <si>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</si>
  <si>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</si>
  <si>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</si>
  <si>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</si>
  <si>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</si>
  <si>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</si>
  <si>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</si>
  <si>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</si>
  <si>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</si>
  <si>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</si>
  <si>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</si>
  <si>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</si>
  <si>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</si>
  <si>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</si>
  <si>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</si>
  <si>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</si>
  <si>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</si>
  <si>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</si>
  <si>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</si>
  <si>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</si>
  <si>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</si>
  <si>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</si>
  <si>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</si>
  <si>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</si>
  <si>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</si>
  <si>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</si>
  <si>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</si>
  <si>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</si>
  <si>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</si>
  <si>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</si>
  <si>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</si>
  <si>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</si>
  <si>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</si>
  <si>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</si>
  <si>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</si>
  <si>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</si>
  <si>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</si>
  <si>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</si>
  <si>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</si>
  <si>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</si>
  <si>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</si>
  <si>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</si>
  <si>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</si>
  <si>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</si>
  <si>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</si>
  <si>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</si>
  <si>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</si>
  <si>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</si>
  <si>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</si>
  <si>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</si>
  <si>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</si>
  <si>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</si>
  <si>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</si>
  <si>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</si>
  <si>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</si>
  <si>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</si>
  <si>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</si>
  <si>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</si>
  <si>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</si>
  <si>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</si>
  <si>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</si>
  <si>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</si>
  <si>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</si>
  <si>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</si>
  <si>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</si>
  <si>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</si>
  <si>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</si>
  <si>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</si>
  <si>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</si>
  <si>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</si>
  <si>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</si>
  <si>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</si>
  <si>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</si>
  <si>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</si>
  <si>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</si>
  <si>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</si>
  <si>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</si>
  <si>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</si>
  <si>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</si>
  <si>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</si>
  <si>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</si>
  <si>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</si>
  <si>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</si>
  <si>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</si>
  <si>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</si>
  <si>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</si>
  <si>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</si>
  <si>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</si>
  <si>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</si>
  <si>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</si>
  <si>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</si>
  <si>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</si>
  <si>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</si>
  <si>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</si>
  <si>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</si>
  <si>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</si>
  <si>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</si>
  <si>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</si>
  <si>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</si>
  <si>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</si>
  <si>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</si>
  <si>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</si>
  <si>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</si>
  <si>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</si>
  <si>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</si>
  <si>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</si>
  <si>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</si>
  <si>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</si>
  <si>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</si>
  <si>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</si>
  <si>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</si>
  <si>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</si>
  <si>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</si>
  <si>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</si>
  <si>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</si>
  <si>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</si>
  <si>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</si>
  <si>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</si>
  <si>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</si>
  <si>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</si>
  <si>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</si>
  <si>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</si>
  <si>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</si>
  <si>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</si>
  <si>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</si>
  <si>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</si>
  <si>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</si>
  <si>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</si>
  <si>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</si>
  <si>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</si>
  <si>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</si>
  <si>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</si>
  <si>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</si>
  <si>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</si>
  <si>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</si>
  <si>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</si>
  <si>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</si>
  <si>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</si>
  <si>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</si>
  <si>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</si>
  <si>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</si>
  <si>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</si>
  <si>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</si>
  <si>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</si>
  <si>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</si>
  <si>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</si>
  <si>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</si>
  <si>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</si>
  <si>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</si>
  <si>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</si>
  <si>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</si>
  <si>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</si>
  <si>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</si>
  <si>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</si>
  <si>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</si>
  <si>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</si>
  <si>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</si>
  <si>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</si>
  <si>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</si>
  <si>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</si>
  <si>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</si>
  <si>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</si>
  <si>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</si>
  <si>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</si>
  <si>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</si>
  <si>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</si>
  <si>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</si>
  <si>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</si>
  <si>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</si>
  <si>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</si>
  <si>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</si>
  <si>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</si>
  <si>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</si>
  <si>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</si>
  <si>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</si>
  <si>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</si>
  <si>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</si>
  <si>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</si>
  <si>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</si>
  <si>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</si>
  <si>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</si>
  <si>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</si>
  <si>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</si>
  <si>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</si>
  <si>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</si>
  <si>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</si>
  <si>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</si>
  <si>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</si>
  <si>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</si>
  <si>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</si>
  <si>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</si>
  <si>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</si>
  <si>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</si>
  <si>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</si>
  <si>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</si>
  <si>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</si>
  <si>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</si>
  <si>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</si>
  <si>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</si>
  <si>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</si>
  <si>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</si>
  <si>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</si>
  <si>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</si>
  <si>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</si>
  <si>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</si>
  <si>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</si>
  <si>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</si>
  <si>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</si>
  <si>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</si>
  <si>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</si>
  <si>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</si>
  <si>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</si>
  <si>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</si>
  <si>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</si>
  <si>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</si>
  <si>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</si>
  <si>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</si>
  <si>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</si>
  <si>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</si>
  <si>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</si>
  <si>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</si>
  <si>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</si>
  <si>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</si>
  <si>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</si>
  <si>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</si>
  <si>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</si>
  <si>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</si>
  <si>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</si>
  <si>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</si>
  <si>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</si>
  <si>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</si>
  <si>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</si>
  <si>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</si>
  <si>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</si>
  <si>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</si>
  <si>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</si>
  <si>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</si>
  <si>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</si>
  <si>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</si>
  <si>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</si>
  <si>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</si>
  <si>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</si>
  <si>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</si>
  <si>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</si>
  <si>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</si>
  <si>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</si>
  <si>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</si>
  <si>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</si>
  <si>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</si>
  <si>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</si>
  <si>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</si>
  <si>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</si>
  <si>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</si>
  <si>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</si>
  <si>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</si>
  <si>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</si>
  <si>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</si>
  <si>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</si>
  <si>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</si>
  <si>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</si>
  <si>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</si>
  <si>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</si>
  <si>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</si>
  <si>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</si>
  <si>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</si>
  <si>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</si>
  <si>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</si>
  <si>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</si>
  <si>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</si>
  <si>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</si>
  <si>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</si>
  <si>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</si>
  <si>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</si>
  <si>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</si>
  <si>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</si>
  <si>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</si>
  <si>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</si>
  <si>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</si>
  <si>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</si>
  <si>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</si>
  <si>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</si>
  <si>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</si>
  <si>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</si>
  <si>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</si>
  <si>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</si>
  <si>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</si>
  <si>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</si>
  <si>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</si>
  <si>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</si>
  <si>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</si>
  <si>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</si>
  <si>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</si>
  <si>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</si>
  <si>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</si>
  <si>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</si>
  <si>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</si>
  <si>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</si>
  <si>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</si>
  <si>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</si>
  <si>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</si>
  <si>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</si>
  <si>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</si>
  <si>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</si>
  <si>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</si>
  <si>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</si>
  <si>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</si>
  <si>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</si>
  <si>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</si>
  <si>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</si>
  <si>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</si>
  <si>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</si>
  <si>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</si>
  <si>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</si>
  <si>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</si>
  <si>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</si>
  <si>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</si>
  <si>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</si>
  <si>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</si>
  <si>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</si>
  <si>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</si>
  <si>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</si>
  <si>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</si>
  <si>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</si>
  <si>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</si>
  <si>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</si>
  <si>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</si>
  <si>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</si>
  <si>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</si>
  <si>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</si>
  <si>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</si>
  <si>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</si>
  <si>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</si>
  <si>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</si>
  <si>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</si>
  <si>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</si>
  <si>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</si>
  <si>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</si>
  <si>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</si>
  <si>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</si>
  <si>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</si>
  <si>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</si>
  <si>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</si>
  <si>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</si>
  <si>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</si>
  <si>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</si>
  <si>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</si>
  <si>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</si>
  <si>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</si>
  <si>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</si>
  <si>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</si>
  <si>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</si>
  <si>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</si>
  <si>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</si>
  <si>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</si>
  <si>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</si>
  <si>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</si>
  <si>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</si>
  <si>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</si>
  <si>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</si>
  <si>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</si>
  <si>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</si>
  <si>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</si>
  <si>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</si>
  <si>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</si>
  <si>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</si>
  <si>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</si>
  <si>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</si>
  <si>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</si>
  <si>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</si>
  <si>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</si>
  <si>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</si>
  <si>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</si>
  <si>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</si>
  <si>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</si>
  <si>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</si>
  <si>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</si>
  <si>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</si>
  <si>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</si>
  <si>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</si>
  <si>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</si>
  <si>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</si>
  <si>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</si>
  <si>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</si>
  <si>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</si>
  <si>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</si>
  <si>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</si>
  <si>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</si>
  <si>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</si>
  <si>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</si>
  <si>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</si>
  <si>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</si>
  <si>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</si>
  <si>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</si>
  <si>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</si>
  <si>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</si>
  <si>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</si>
  <si>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</si>
  <si>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</si>
  <si>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</si>
  <si>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</si>
  <si>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</si>
  <si>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</si>
  <si>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</si>
  <si>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</si>
  <si>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</si>
  <si>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</si>
  <si>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</si>
  <si>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</si>
  <si>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</si>
  <si>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</si>
  <si>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</si>
  <si>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</si>
  <si>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</si>
  <si>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</si>
  <si>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</si>
  <si>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</si>
  <si>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</si>
  <si>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</si>
  <si>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</si>
  <si>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</si>
  <si>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</si>
  <si>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</si>
  <si>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</si>
  <si>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</si>
  <si>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</si>
  <si>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</si>
  <si>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</si>
  <si>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</si>
  <si>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</si>
  <si>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</si>
  <si>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</si>
  <si>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</si>
  <si>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</si>
  <si>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</si>
  <si>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</si>
  <si>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</si>
  <si>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</si>
  <si>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</si>
  <si>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</si>
  <si>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</si>
  <si>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</si>
  <si>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</si>
  <si>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</si>
  <si>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</si>
  <si>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</si>
  <si>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</si>
  <si>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</si>
  <si>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</si>
  <si>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</si>
  <si>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</si>
  <si>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</si>
  <si>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</si>
  <si>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</si>
  <si>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</si>
  <si>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</si>
  <si>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</si>
  <si>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</si>
  <si>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</si>
  <si>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</si>
  <si>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</si>
  <si>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</si>
  <si>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</si>
  <si>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</si>
  <si>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</si>
  <si>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</si>
  <si>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</si>
  <si>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</si>
  <si>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</si>
  <si>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</si>
  <si>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</si>
  <si>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</si>
  <si>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</si>
  <si>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</si>
  <si>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</si>
  <si>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</si>
  <si>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</si>
  <si>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</si>
  <si>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</si>
  <si>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</si>
  <si>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</si>
  <si>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</si>
  <si>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</si>
  <si>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</si>
  <si>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</si>
  <si>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</si>
  <si>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</si>
  <si>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</si>
  <si>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</si>
  <si>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</si>
  <si>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</si>
  <si>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</si>
  <si>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</si>
  <si>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</si>
  <si>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</si>
  <si>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</si>
  <si>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</si>
  <si>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</si>
  <si>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</si>
  <si>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</si>
  <si>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</si>
  <si>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</si>
  <si>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</si>
  <si>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</si>
  <si>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</si>
  <si>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</si>
  <si>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</si>
  <si>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</si>
  <si>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</si>
  <si>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</si>
  <si>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</si>
  <si>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</si>
  <si>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</si>
  <si>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</si>
  <si>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</si>
  <si>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</si>
  <si>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</si>
  <si>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</si>
  <si>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</si>
  <si>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</si>
  <si>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</si>
  <si>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</si>
  <si>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</si>
  <si>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</si>
  <si>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</si>
  <si>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</si>
  <si>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</si>
  <si>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</si>
  <si>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</si>
  <si>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</si>
  <si>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</si>
  <si>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</si>
  <si>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</si>
  <si>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</si>
  <si>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</si>
  <si>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</si>
  <si>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</si>
  <si>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</si>
  <si>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</si>
  <si>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</si>
  <si>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</si>
  <si>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</si>
  <si>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</si>
  <si>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</si>
  <si>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</si>
  <si>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</si>
  <si>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</si>
  <si>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</si>
  <si>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</si>
  <si>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</si>
  <si>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</si>
  <si>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</si>
  <si>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</si>
  <si>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</si>
  <si>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</si>
  <si>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</si>
  <si>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</si>
  <si>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</si>
  <si>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</si>
  <si>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</si>
  <si>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</si>
  <si>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</si>
  <si>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</si>
  <si>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</si>
  <si>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</si>
  <si>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</si>
  <si>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</si>
  <si>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</si>
  <si>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</si>
  <si>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</si>
  <si>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</si>
  <si>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</si>
  <si>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</si>
  <si>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</si>
  <si>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</si>
  <si>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</si>
  <si>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</si>
  <si>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</si>
  <si>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</si>
  <si>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</si>
  <si>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</si>
  <si>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</si>
  <si>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</si>
  <si>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</si>
  <si>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</si>
  <si>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</si>
  <si>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</si>
  <si>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</si>
  <si>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</si>
  <si>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</si>
  <si>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</si>
  <si>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</si>
  <si>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</si>
  <si>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</si>
  <si>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</si>
  <si>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</si>
  <si>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</si>
  <si>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</si>
  <si>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</si>
  <si>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</si>
  <si>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</si>
  <si>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</si>
  <si>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</si>
  <si>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</si>
  <si>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</si>
  <si>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</si>
  <si>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</si>
  <si>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</si>
  <si>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</si>
  <si>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</si>
  <si>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</si>
  <si>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</si>
  <si>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</si>
  <si>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</si>
  <si>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</si>
  <si>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</si>
  <si>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</si>
  <si>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</si>
  <si>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</si>
  <si>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</si>
  <si>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</si>
  <si>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</si>
  <si>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</si>
  <si>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</si>
  <si>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</si>
  <si>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</si>
  <si>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</si>
  <si>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</si>
  <si>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</si>
  <si>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</si>
  <si>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</si>
  <si>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</si>
  <si>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</si>
  <si>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</si>
  <si>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</si>
  <si>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</si>
  <si>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</si>
  <si>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</si>
  <si>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</si>
  <si>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</si>
  <si>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</si>
  <si>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</si>
  <si>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</si>
  <si>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</si>
  <si>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</si>
  <si>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</si>
  <si>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</si>
  <si>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</si>
  <si>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</si>
  <si>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</si>
  <si>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</si>
  <si>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</si>
  <si>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</si>
  <si>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</si>
  <si>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</si>
  <si>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</si>
  <si>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</si>
  <si>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</si>
  <si>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</si>
  <si>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</si>
  <si>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</si>
  <si>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</si>
  <si>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</si>
  <si>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</si>
  <si>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</si>
  <si>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</si>
  <si>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</si>
  <si>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</si>
  <si>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</si>
  <si>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</si>
  <si>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</si>
  <si>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</si>
  <si>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</si>
  <si>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</si>
  <si>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</si>
  <si>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</si>
  <si>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</si>
  <si>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</si>
  <si>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</si>
  <si>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</si>
  <si>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</si>
  <si>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</si>
  <si>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</si>
  <si>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</si>
  <si>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</si>
  <si>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</si>
  <si>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</si>
  <si>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</si>
  <si>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</si>
  <si>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</si>
  <si>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</si>
  <si>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</si>
  <si>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</si>
  <si>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</si>
  <si>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</si>
  <si>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</si>
  <si>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</si>
  <si>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</si>
  <si>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</si>
  <si>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</si>
  <si>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</si>
  <si>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</si>
  <si>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</si>
  <si>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</si>
  <si>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</si>
  <si>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</si>
  <si>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</si>
  <si>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</si>
  <si>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</si>
  <si>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</si>
  <si>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</si>
  <si>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</si>
  <si>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</si>
  <si>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</si>
  <si>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</si>
  <si>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</si>
  <si>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</si>
  <si>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</si>
  <si>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</si>
  <si>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</si>
  <si>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</si>
  <si>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</si>
  <si>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</si>
  <si>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</si>
  <si>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</si>
  <si>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</si>
  <si>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</si>
  <si>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</si>
  <si>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</si>
  <si>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</si>
  <si>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</si>
  <si>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</si>
  <si>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</si>
  <si>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</si>
  <si>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</si>
  <si>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</si>
  <si>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</si>
  <si>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</si>
  <si>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</si>
  <si>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</si>
  <si>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</si>
  <si>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</si>
  <si>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</si>
  <si>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</si>
  <si>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</si>
  <si>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</si>
  <si>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</si>
  <si>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</si>
  <si>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</si>
  <si>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</si>
  <si>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</si>
  <si>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</si>
  <si>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</si>
  <si>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</si>
  <si>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</si>
  <si>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</si>
  <si>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</si>
  <si>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</si>
  <si>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</si>
  <si>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</si>
  <si>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</si>
  <si>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</si>
  <si>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</si>
  <si>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</si>
  <si>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</si>
  <si>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</si>
  <si>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</si>
  <si>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</si>
  <si>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</si>
  <si>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</si>
  <si>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</si>
  <si>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</si>
  <si>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</si>
  <si>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</si>
  <si>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</si>
  <si>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</si>
  <si>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</si>
  <si>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</si>
  <si>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</si>
  <si>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</si>
  <si>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</si>
  <si>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</si>
  <si>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</si>
  <si>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</si>
  <si>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</si>
  <si>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</si>
  <si>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</si>
  <si>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</si>
  <si>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</si>
  <si>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</si>
  <si>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</si>
  <si>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</si>
  <si>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</si>
  <si>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</si>
  <si>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</si>
  <si>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</si>
  <si>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</si>
  <si>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</si>
  <si>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</si>
  <si>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</si>
  <si>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</si>
  <si>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</si>
  <si>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</si>
  <si>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</si>
  <si>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</si>
  <si>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</si>
  <si>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</si>
  <si>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</si>
  <si>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</si>
  <si>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</si>
  <si>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</si>
  <si>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</si>
  <si>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</si>
  <si>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</si>
  <si>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</si>
  <si>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</si>
  <si>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</si>
  <si>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</si>
  <si>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</si>
  <si>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</si>
  <si>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</si>
  <si>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</si>
  <si>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</si>
  <si>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</si>
  <si>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</si>
  <si>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</si>
  <si>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</si>
  <si>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</si>
  <si>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</si>
  <si>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</si>
  <si>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</si>
  <si>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</si>
  <si>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</si>
  <si>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</si>
  <si>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</si>
  <si>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</si>
  <si>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</si>
  <si>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</si>
  <si>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</si>
  <si>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</si>
  <si>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</si>
  <si>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</si>
  <si>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</si>
  <si>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</si>
  <si>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</si>
  <si>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</si>
  <si>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</si>
  <si>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</si>
  <si>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</si>
  <si>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</si>
  <si>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</si>
  <si>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</si>
  <si>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</si>
  <si>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</si>
  <si>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</si>
  <si>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</si>
  <si>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</si>
  <si>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</si>
  <si>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</si>
  <si>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</si>
  <si>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</si>
  <si>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</si>
  <si>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</si>
  <si>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</si>
  <si>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</si>
  <si>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</si>
  <si>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</si>
  <si>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</si>
  <si>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</si>
  <si>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</si>
  <si>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</si>
  <si>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</si>
  <si>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</si>
  <si>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</si>
  <si>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</si>
  <si>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</si>
  <si>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</si>
  <si>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</si>
  <si>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</si>
  <si>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</si>
  <si>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</si>
  <si>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</si>
  <si>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</si>
  <si>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</si>
  <si>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</si>
  <si>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</si>
  <si>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</si>
  <si>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</si>
  <si>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</si>
  <si>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</si>
  <si>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</si>
  <si>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</si>
  <si>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</si>
  <si>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</si>
  <si>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</si>
  <si>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</si>
  <si>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</si>
  <si>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</si>
  <si>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</si>
  <si>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</si>
  <si>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</si>
  <si>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</si>
  <si>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</si>
  <si>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</si>
  <si>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</si>
  <si>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</si>
  <si>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</si>
  <si>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</si>
  <si>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</si>
  <si>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</si>
  <si>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</si>
  <si>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</si>
  <si>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</si>
  <si>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</si>
  <si>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</si>
  <si>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</si>
  <si>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</si>
  <si>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</si>
  <si>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</si>
  <si>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</si>
  <si>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</si>
  <si>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</si>
  <si>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</si>
  <si>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</si>
  <si>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</si>
  <si>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</si>
  <si>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</si>
  <si>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</si>
  <si>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</si>
  <si>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</si>
  <si>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</si>
  <si>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</si>
  <si>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</si>
  <si>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</si>
  <si>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</si>
  <si>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</si>
  <si>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</si>
  <si>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</si>
  <si>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</si>
  <si>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</si>
  <si>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</si>
  <si>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</si>
  <si>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</si>
  <si>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</si>
  <si>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</si>
  <si>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</si>
  <si>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</si>
  <si>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</si>
  <si>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</si>
  <si>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</si>
  <si>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</si>
  <si>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</si>
  <si>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</si>
  <si>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</si>
  <si>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</si>
  <si>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</si>
  <si>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</si>
  <si>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</si>
  <si>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</si>
  <si>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</si>
  <si>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</si>
  <si>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</si>
  <si>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</si>
  <si>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</si>
  <si>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</si>
  <si>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</si>
  <si>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</si>
  <si>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</si>
  <si>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</si>
  <si>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</si>
  <si>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</si>
  <si>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</si>
  <si>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</si>
  <si>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</si>
  <si>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</si>
  <si>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</si>
  <si>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</si>
  <si>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</si>
  <si>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</si>
  <si>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</si>
  <si>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</si>
  <si>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</si>
  <si>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</si>
  <si>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</si>
  <si>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</si>
  <si>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</si>
  <si>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</si>
  <si>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</si>
  <si>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</si>
  <si>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</si>
  <si>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</si>
  <si>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</si>
  <si>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</si>
  <si>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</si>
  <si>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</si>
  <si>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</si>
  <si>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</si>
  <si>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</si>
  <si>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</si>
  <si>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</si>
  <si>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</si>
  <si>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</si>
  <si>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</si>
  <si>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</si>
  <si>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</si>
  <si>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</si>
  <si>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</si>
  <si>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</si>
  <si>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</si>
  <si>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</si>
  <si>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</si>
  <si>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</si>
  <si>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</si>
  <si>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</si>
  <si>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</si>
  <si>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</si>
  <si>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</si>
  <si>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</si>
  <si>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</si>
  <si>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</si>
  <si>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</si>
  <si>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</si>
  <si>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</si>
  <si>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</si>
  <si>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</si>
  <si>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</si>
  <si>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</si>
  <si>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</si>
  <si>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</si>
  <si>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</si>
  <si>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</si>
  <si>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</si>
  <si>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</si>
  <si>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</si>
  <si>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</si>
  <si>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</si>
  <si>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</si>
  <si>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</si>
  <si>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</si>
  <si>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</si>
  <si>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</si>
  <si>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</si>
  <si>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</si>
  <si>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</si>
  <si>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</si>
  <si>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</si>
  <si>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</si>
  <si>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</si>
  <si>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</si>
  <si>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</si>
  <si>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</si>
  <si>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</si>
  <si>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</si>
  <si>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</si>
  <si>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</si>
  <si>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</si>
  <si>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</si>
  <si>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</si>
  <si>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</si>
  <si>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</si>
  <si>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</si>
  <si>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</si>
  <si>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</si>
  <si>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</si>
  <si>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</si>
  <si>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</si>
  <si>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</si>
  <si>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</si>
  <si>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</si>
  <si>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</si>
  <si>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</si>
  <si>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</si>
  <si>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</si>
  <si>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</si>
  <si>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</si>
  <si>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</si>
  <si>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</si>
  <si>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</si>
  <si>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</si>
  <si>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</si>
  <si>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</si>
  <si>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</si>
  <si>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</si>
  <si>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</si>
  <si>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</si>
  <si>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</si>
  <si>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</si>
  <si>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</si>
  <si>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</si>
  <si>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</si>
  <si>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</si>
  <si>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</si>
  <si>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</si>
  <si>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</si>
  <si>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</si>
  <si>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</si>
  <si>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</si>
  <si>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</si>
  <si>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</si>
  <si>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</si>
  <si>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</si>
  <si>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</si>
  <si>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</si>
  <si>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</si>
  <si>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</si>
  <si>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</si>
  <si>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</si>
  <si>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</si>
  <si>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</si>
  <si>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</si>
  <si>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</si>
  <si>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</si>
  <si>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</si>
  <si>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</si>
  <si>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</si>
  <si>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</si>
  <si>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</si>
  <si>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</si>
  <si>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</si>
  <si>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</si>
  <si>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</si>
  <si>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</si>
  <si>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</si>
  <si>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</si>
  <si>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</si>
  <si>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</si>
  <si>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</si>
  <si>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</si>
  <si>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</si>
  <si>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</si>
  <si>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</si>
  <si>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</si>
  <si>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</si>
  <si>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</si>
  <si>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</si>
  <si>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</si>
  <si>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</si>
  <si>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</si>
  <si>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</si>
  <si>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</si>
  <si>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</si>
  <si>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</si>
  <si>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</si>
  <si>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</si>
  <si>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</si>
  <si>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</si>
  <si>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</si>
  <si>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</si>
  <si>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</si>
  <si>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</si>
  <si>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</si>
  <si>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</si>
  <si>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</si>
  <si>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</si>
  <si>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</si>
  <si>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</si>
  <si>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</si>
  <si>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</si>
  <si>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</si>
  <si>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</si>
  <si>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</si>
  <si>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</si>
  <si>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</si>
  <si>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</si>
  <si>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</si>
  <si>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</si>
  <si>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</si>
  <si>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</si>
  <si>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</si>
  <si>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</si>
  <si>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</si>
  <si>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</si>
  <si>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</si>
  <si>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</si>
  <si>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</si>
  <si>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</si>
  <si>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</si>
  <si>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</si>
  <si>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</si>
  <si>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</si>
  <si>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</si>
  <si>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</si>
  <si>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</si>
  <si>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</si>
  <si>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</si>
  <si>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</si>
  <si>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</si>
  <si>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</si>
  <si>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</si>
  <si>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</si>
  <si>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</si>
  <si>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</si>
  <si>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</si>
  <si>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</si>
  <si>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</si>
  <si>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</si>
  <si>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</si>
  <si>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</si>
  <si>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</si>
  <si>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</si>
  <si>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</si>
  <si>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</si>
  <si>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</si>
  <si>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</si>
  <si>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</si>
  <si>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</si>
  <si>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</si>
  <si>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</si>
  <si>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</si>
  <si>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</si>
  <si>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</si>
  <si>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</si>
  <si>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</si>
  <si>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</si>
  <si>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</si>
  <si>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</si>
  <si>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</si>
  <si>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</si>
  <si>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</si>
  <si>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</si>
  <si>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</si>
  <si>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</si>
  <si>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</si>
  <si>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</si>
  <si>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</si>
  <si>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</si>
  <si>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</si>
  <si>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</si>
  <si>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</si>
  <si>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</si>
  <si>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</si>
  <si>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</si>
  <si>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</si>
  <si>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</si>
  <si>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</si>
  <si>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</si>
  <si>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</si>
  <si>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</si>
  <si>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</si>
  <si>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</si>
  <si>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</si>
  <si>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</si>
  <si>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</si>
  <si>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</si>
  <si>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</si>
  <si>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</si>
  <si>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</si>
  <si>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</si>
  <si>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</si>
  <si>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</si>
  <si>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</si>
  <si>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</si>
  <si>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</si>
  <si>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</si>
  <si>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</si>
  <si>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</si>
  <si>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</si>
  <si>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</si>
  <si>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</si>
  <si>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</si>
  <si>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</si>
  <si>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</si>
  <si>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</si>
  <si>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</si>
  <si>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</si>
  <si>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</si>
  <si>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</si>
  <si>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</si>
  <si>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</si>
  <si>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</si>
  <si>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</si>
  <si>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</si>
  <si>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</si>
  <si>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</si>
  <si>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</si>
  <si>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</si>
  <si>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</si>
  <si>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</si>
  <si>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</si>
  <si>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</si>
  <si>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</si>
  <si>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</si>
  <si>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</si>
  <si>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</si>
  <si>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</si>
  <si>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</si>
  <si>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</si>
  <si>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</si>
  <si>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</si>
  <si>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</si>
  <si>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</si>
  <si>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</si>
  <si>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</si>
  <si>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</si>
  <si>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</si>
  <si>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</si>
  <si>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</si>
  <si>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</si>
  <si>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</si>
  <si>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</si>
  <si>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</si>
  <si>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</si>
  <si>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</si>
  <si>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</si>
  <si>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</si>
  <si>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</si>
  <si>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</si>
  <si>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</si>
  <si>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</si>
  <si>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</si>
  <si>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</si>
  <si>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</si>
  <si>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</si>
  <si>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</si>
  <si>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</si>
  <si>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</si>
  <si>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</si>
  <si>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</si>
  <si>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</si>
  <si>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</si>
  <si>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</si>
  <si>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</si>
  <si>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</si>
  <si>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</si>
  <si>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</si>
  <si>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</si>
  <si>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</si>
  <si>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</si>
  <si>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</si>
  <si>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</si>
  <si>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</si>
  <si>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</si>
  <si>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</si>
  <si>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</si>
  <si>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</si>
  <si>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</si>
  <si>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</si>
  <si>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</si>
  <si>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</si>
  <si>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</si>
  <si>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</si>
  <si>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</si>
  <si>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</si>
  <si>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</si>
  <si>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</si>
  <si>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</si>
  <si>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</si>
  <si>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</si>
  <si>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</si>
  <si>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</si>
  <si>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</si>
  <si>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</si>
  <si>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</si>
  <si>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</si>
  <si>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</si>
  <si>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</si>
  <si>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</si>
  <si>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</si>
  <si>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</si>
  <si>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</si>
  <si>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</si>
  <si>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</si>
  <si>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</si>
  <si>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</si>
  <si>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</si>
  <si>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</si>
  <si>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</si>
  <si>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</si>
  <si>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</si>
  <si>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</si>
  <si>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</si>
  <si>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</si>
  <si>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</si>
  <si>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</si>
  <si>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</si>
  <si>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</si>
  <si>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</si>
  <si>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</si>
  <si>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</si>
  <si>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</si>
  <si>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</si>
  <si>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</si>
  <si>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</si>
  <si>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</si>
  <si>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</si>
  <si>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</si>
  <si>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</si>
  <si>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</si>
  <si>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</si>
  <si>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</si>
  <si>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</si>
  <si>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</si>
  <si>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</si>
  <si>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</si>
  <si>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</si>
  <si>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</si>
  <si>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</si>
  <si>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</si>
  <si>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</si>
  <si>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</si>
  <si>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</si>
  <si>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</si>
  <si>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</si>
  <si>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</si>
  <si>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</si>
  <si>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</si>
  <si>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</si>
  <si>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</si>
  <si>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</si>
  <si>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</si>
  <si>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</si>
  <si>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</si>
  <si>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</si>
  <si>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</si>
  <si>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</si>
  <si>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</si>
  <si>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</si>
  <si>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</si>
  <si>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</si>
  <si>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</si>
  <si>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</si>
  <si>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</si>
  <si>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</si>
  <si>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</si>
  <si>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</si>
  <si>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</si>
  <si>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</si>
  <si>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</si>
  <si>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</si>
  <si>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</si>
  <si>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</si>
  <si>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</si>
  <si>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</si>
  <si>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</si>
  <si>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</si>
  <si>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</si>
  <si>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</si>
  <si>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</si>
  <si>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</si>
  <si>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</si>
  <si>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</si>
  <si>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</si>
  <si>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</si>
  <si>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</si>
  <si>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</si>
  <si>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</si>
  <si>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</si>
  <si>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</si>
  <si>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</si>
  <si>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</si>
  <si>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</si>
  <si>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</si>
  <si>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</si>
  <si>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</si>
  <si>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</si>
  <si>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</si>
  <si>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</si>
  <si>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</si>
  <si>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</si>
  <si>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</si>
  <si>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</si>
  <si>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</si>
  <si>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</si>
  <si>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</si>
  <si>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</si>
  <si>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</si>
  <si>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</si>
  <si>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</si>
  <si>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</si>
  <si>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</si>
  <si>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</si>
  <si>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</si>
  <si>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</si>
  <si>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</si>
  <si>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</si>
  <si>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</si>
  <si>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</si>
  <si>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</si>
  <si>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</si>
  <si>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</si>
  <si>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</si>
  <si>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</si>
  <si>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</si>
  <si>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</si>
  <si>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</si>
  <si>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</si>
  <si>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</si>
  <si>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</si>
  <si>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</si>
  <si>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</si>
  <si>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</si>
  <si>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</si>
  <si>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</si>
  <si>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</si>
  <si>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</si>
  <si>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</si>
  <si>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</si>
  <si>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</si>
  <si>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</si>
  <si>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</si>
  <si>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</si>
  <si>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</si>
  <si>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</si>
  <si>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</si>
  <si>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</si>
  <si>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</si>
  <si>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</si>
  <si>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</si>
  <si>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</si>
  <si>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</si>
  <si>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</si>
  <si>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</si>
  <si>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</si>
  <si>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</si>
  <si>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</si>
  <si>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</si>
  <si>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</si>
  <si>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</si>
  <si>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</si>
  <si>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</si>
  <si>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</si>
  <si>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</si>
  <si>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</si>
  <si>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</si>
  <si>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</si>
  <si>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</si>
  <si>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</si>
  <si>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</si>
  <si>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</si>
  <si>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</si>
  <si>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</si>
  <si>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</si>
  <si>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</si>
  <si>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</si>
  <si>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</si>
  <si>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</si>
  <si>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</si>
  <si>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</si>
  <si>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</si>
  <si>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</si>
  <si>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</si>
  <si>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</si>
  <si>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</si>
  <si>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</si>
  <si>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</si>
  <si>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</si>
  <si>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</si>
  <si>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</si>
  <si>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</si>
  <si>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</si>
  <si>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</si>
  <si>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</si>
  <si>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</si>
  <si>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</si>
  <si>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</si>
  <si>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</si>
  <si>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</si>
  <si>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</si>
  <si>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</si>
  <si>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</si>
  <si>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</si>
  <si>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</si>
  <si>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</si>
  <si>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</si>
  <si>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</si>
  <si>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</si>
  <si>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</si>
  <si>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</si>
  <si>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</si>
  <si>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</si>
  <si>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</si>
  <si>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</si>
  <si>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</si>
  <si>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</si>
  <si>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</si>
  <si>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</si>
  <si>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</si>
  <si>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</si>
  <si>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</si>
  <si>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</si>
  <si>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</si>
  <si>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</si>
  <si>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</si>
  <si>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</si>
  <si>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</si>
  <si>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</si>
  <si>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</si>
  <si>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</si>
  <si>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</si>
  <si>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</si>
  <si>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</si>
  <si>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</si>
  <si>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</si>
  <si>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</si>
  <si>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</si>
  <si>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</si>
  <si>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</si>
  <si>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</si>
  <si>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</si>
  <si>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</si>
  <si>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</si>
  <si>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</si>
  <si>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</si>
  <si>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</si>
  <si>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</si>
  <si>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</si>
  <si>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</si>
  <si>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</si>
  <si>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</si>
  <si>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</si>
  <si>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</si>
  <si>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</si>
  <si>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</si>
  <si>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</si>
  <si>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</si>
  <si>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</si>
  <si>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</si>
  <si>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</si>
  <si>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</si>
  <si>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</si>
  <si>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</si>
  <si>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</si>
  <si>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</si>
  <si>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</si>
  <si>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</si>
  <si>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</si>
  <si>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</si>
  <si>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</si>
  <si>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</si>
  <si>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</si>
  <si>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</si>
  <si>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</si>
  <si>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</si>
  <si>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</si>
  <si>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</si>
  <si>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</si>
  <si>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</si>
  <si>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</si>
  <si>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</si>
  <si>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</si>
  <si>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</si>
  <si>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</si>
  <si>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</si>
  <si>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</si>
  <si>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</si>
  <si>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</si>
  <si>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</si>
  <si>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</si>
  <si>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</si>
  <si>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</si>
  <si>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</si>
  <si>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</si>
  <si>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</si>
  <si>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</si>
  <si>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</si>
  <si>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</si>
  <si>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</si>
  <si>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</si>
  <si>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</si>
  <si>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</si>
  <si>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</si>
  <si>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</si>
  <si>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</si>
  <si>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</si>
  <si>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</si>
  <si>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</si>
  <si>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</si>
  <si>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</si>
  <si>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</si>
  <si>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</si>
  <si>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</si>
  <si>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</si>
  <si>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</si>
  <si>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</si>
  <si>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</si>
  <si>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</si>
  <si>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</si>
  <si>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</si>
  <si>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</si>
  <si>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</si>
  <si>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</si>
  <si>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</si>
  <si>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</si>
  <si>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</si>
  <si>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</si>
  <si>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</si>
  <si>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</si>
  <si>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</si>
  <si>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</si>
  <si>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</si>
  <si>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</si>
  <si>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</si>
  <si>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</si>
  <si>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</si>
  <si>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</si>
  <si>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</si>
  <si>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</si>
  <si>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</si>
  <si>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</si>
  <si>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</si>
  <si>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</si>
  <si>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</si>
  <si>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</si>
  <si>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</si>
  <si>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</si>
  <si>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</si>
  <si>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</si>
  <si>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</si>
  <si>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</si>
  <si>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</si>
  <si>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</si>
  <si>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</si>
  <si>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</si>
  <si>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</si>
  <si>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</si>
  <si>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</si>
  <si>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</si>
  <si>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</si>
  <si>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</si>
  <si>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</si>
  <si>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</si>
  <si>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</si>
  <si>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</si>
  <si>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</si>
  <si>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</si>
  <si>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</si>
  <si>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</si>
  <si>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</si>
  <si>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</si>
  <si>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</si>
  <si>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</si>
  <si>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</si>
  <si>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</si>
  <si>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</si>
  <si>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</si>
  <si>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</si>
  <si>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</si>
  <si>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</si>
  <si>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</si>
  <si>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</si>
  <si>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</si>
  <si>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</si>
  <si>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</si>
  <si>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</si>
  <si>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</si>
  <si>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</si>
  <si>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</si>
  <si>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</si>
  <si>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</si>
  <si>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</si>
  <si>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</si>
  <si>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</si>
  <si>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</si>
  <si>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</si>
  <si>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</si>
  <si>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</si>
  <si>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</si>
  <si>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</si>
  <si>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</si>
  <si>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</si>
  <si>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</si>
  <si>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</si>
  <si>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</si>
  <si>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</si>
  <si>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</si>
  <si>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</si>
  <si>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</si>
  <si>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</si>
  <si>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</si>
  <si>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</si>
  <si>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</si>
  <si>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</si>
  <si>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</si>
  <si>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</si>
  <si>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</si>
  <si>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</si>
  <si>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</si>
  <si>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</si>
  <si>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</si>
  <si>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</si>
  <si>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</si>
  <si>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</si>
  <si>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</si>
  <si>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</si>
  <si>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</si>
  <si>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</si>
  <si>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</si>
  <si>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</si>
  <si>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</si>
  <si>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</si>
  <si>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</si>
  <si>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</si>
  <si>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</si>
  <si>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</si>
  <si>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</si>
  <si>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</si>
  <si>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</si>
  <si>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</si>
  <si>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</si>
  <si>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</si>
  <si>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</si>
  <si>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</si>
  <si>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</si>
  <si>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</si>
  <si>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</si>
  <si>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</si>
  <si>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</si>
  <si>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</si>
  <si>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</si>
  <si>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</si>
  <si>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</si>
  <si>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</si>
  <si>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</si>
  <si>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</si>
  <si>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</si>
  <si>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</si>
  <si>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</si>
  <si>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</si>
  <si>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</si>
  <si>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</si>
  <si>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</si>
  <si>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</si>
  <si>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</si>
  <si>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</si>
  <si>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</si>
  <si>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</si>
  <si>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</si>
  <si>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</si>
  <si>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</si>
  <si>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</si>
  <si>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</si>
  <si>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</si>
  <si>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</si>
  <si>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</si>
  <si>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</si>
  <si>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</si>
  <si>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</si>
  <si>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</si>
  <si>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</si>
  <si>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</si>
  <si>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</si>
  <si>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</si>
  <si>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</si>
  <si>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</si>
  <si>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</si>
  <si>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</si>
  <si>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</si>
  <si>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</si>
  <si>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</si>
  <si>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</si>
  <si>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</si>
  <si>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</si>
  <si>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</si>
  <si>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</si>
  <si>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</si>
  <si>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</si>
  <si>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</si>
  <si>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</si>
  <si>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</si>
  <si>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</si>
  <si>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</si>
  <si>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</si>
  <si>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</si>
  <si>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</si>
  <si>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</si>
  <si>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</si>
  <si>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</si>
  <si>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</si>
  <si>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</si>
  <si>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</si>
  <si>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</si>
  <si>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</si>
  <si>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</si>
  <si>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</si>
  <si>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</si>
  <si>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</si>
  <si>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</si>
  <si>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</si>
  <si>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</si>
  <si>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</si>
  <si>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</si>
  <si>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</si>
  <si>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</si>
  <si>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</si>
  <si>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</si>
  <si>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</si>
  <si>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</si>
  <si>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</si>
  <si>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</si>
  <si>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</si>
  <si>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</si>
  <si>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</si>
  <si>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</si>
  <si>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</si>
  <si>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</si>
  <si>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</si>
  <si>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</si>
  <si>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</si>
  <si>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</si>
  <si>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</si>
  <si>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</si>
  <si>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</si>
  <si>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</si>
  <si>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</si>
  <si>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</si>
  <si>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</si>
  <si>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</si>
  <si>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</si>
  <si>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</si>
  <si>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</si>
  <si>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</si>
  <si>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</si>
  <si>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</si>
  <si>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</si>
  <si>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</si>
  <si>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</si>
  <si>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</si>
  <si>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</si>
  <si>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</si>
  <si>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</si>
  <si>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</si>
  <si>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</si>
  <si>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</si>
  <si>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</si>
  <si>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</si>
  <si>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</si>
  <si>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</si>
  <si>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</si>
  <si>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</si>
  <si>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</si>
  <si>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</si>
  <si>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</si>
  <si>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</si>
  <si>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</si>
  <si>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</si>
  <si>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</si>
  <si>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</si>
  <si>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</si>
  <si>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</si>
  <si>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</si>
  <si>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</si>
  <si>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</si>
  <si>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</si>
  <si>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</si>
  <si>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</si>
  <si>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</si>
  <si>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</si>
  <si>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</si>
  <si>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</si>
  <si>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</si>
  <si>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</si>
  <si>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</si>
  <si>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</si>
  <si>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</si>
  <si>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</si>
  <si>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</si>
  <si>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</si>
  <si>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</si>
  <si>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</si>
  <si>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</si>
  <si>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</si>
  <si>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</si>
  <si>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</si>
  <si>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</si>
  <si>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</si>
  <si>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</si>
  <si>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</si>
  <si>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</si>
  <si>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</si>
  <si>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</si>
  <si>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</si>
  <si>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</si>
  <si>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</si>
  <si>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</si>
  <si>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</si>
  <si>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</si>
  <si>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</si>
  <si>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</si>
  <si>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</si>
  <si>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</si>
  <si>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</si>
  <si>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</si>
  <si>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</si>
  <si>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</si>
  <si>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</si>
  <si>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</si>
  <si>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</si>
  <si>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</si>
  <si>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</si>
  <si>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</si>
  <si>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</si>
  <si>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</si>
  <si>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</si>
  <si>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</si>
  <si>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</si>
  <si>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</si>
  <si>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</si>
  <si>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</si>
  <si>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</si>
  <si>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</si>
  <si>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</si>
  <si>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</si>
  <si>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</si>
  <si>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</si>
  <si>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</si>
  <si>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</si>
  <si>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</si>
  <si>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</si>
  <si>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</si>
  <si>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</si>
  <si>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</si>
  <si>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</si>
  <si>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</si>
  <si>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</si>
  <si>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</si>
  <si>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</si>
  <si>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</si>
  <si>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</si>
  <si>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</si>
  <si>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</si>
  <si>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</si>
  <si>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</si>
  <si>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</si>
  <si>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</si>
  <si>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</si>
  <si>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</si>
  <si>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</si>
  <si>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</si>
  <si>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</si>
  <si>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</si>
  <si>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</si>
  <si>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</si>
  <si>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</si>
  <si>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</si>
  <si>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</si>
  <si>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</si>
  <si>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</si>
  <si>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</si>
  <si>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</si>
  <si>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</si>
  <si>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</si>
  <si>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</si>
  <si>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</si>
  <si>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</si>
  <si>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</si>
  <si>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</si>
  <si>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</si>
  <si>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</si>
  <si>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</si>
  <si>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</si>
  <si>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</si>
  <si>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</si>
  <si>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</si>
  <si>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</si>
  <si>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</si>
  <si>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</si>
  <si>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</si>
  <si>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</si>
  <si>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</si>
  <si>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</si>
  <si>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</si>
  <si>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</si>
  <si>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</si>
  <si>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</si>
  <si>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</si>
  <si>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</si>
  <si>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</si>
  <si>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</si>
  <si>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</si>
  <si>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</si>
  <si>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</si>
  <si>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</si>
  <si>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</si>
  <si>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</si>
  <si>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</si>
  <si>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</si>
  <si>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</si>
  <si>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</si>
  <si>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</si>
  <si>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</si>
  <si>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</si>
  <si>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</si>
  <si>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</si>
  <si>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</si>
  <si>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</si>
  <si>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</si>
  <si>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</si>
  <si>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</si>
  <si>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</si>
  <si>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</si>
  <si>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</si>
  <si>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</si>
  <si>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</si>
  <si>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</si>
  <si>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</si>
  <si>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</si>
  <si>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</si>
  <si>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</si>
  <si>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</si>
  <si>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</si>
  <si>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</si>
  <si>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</si>
  <si>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</si>
  <si>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</si>
  <si>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</si>
  <si>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</si>
  <si>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</si>
  <si>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</si>
  <si>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</si>
  <si>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</si>
  <si>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</si>
  <si>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</si>
  <si>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</si>
  <si>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</si>
  <si>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</si>
  <si>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</si>
  <si>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</si>
  <si>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</si>
  <si>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</si>
  <si>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</si>
  <si>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</si>
  <si>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</si>
  <si>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</si>
  <si>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</si>
  <si>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</si>
  <si>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</si>
  <si>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</si>
  <si>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</si>
  <si>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</si>
  <si>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</si>
  <si>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</si>
  <si>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</si>
  <si>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</si>
  <si>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</si>
  <si>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</si>
  <si>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</si>
  <si>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</si>
  <si>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</si>
  <si>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</si>
  <si>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</si>
  <si>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</si>
  <si>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</si>
  <si>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</si>
  <si>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</si>
  <si>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</si>
  <si>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</si>
  <si>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</si>
  <si>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</si>
  <si>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</si>
  <si>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</si>
  <si>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</si>
  <si>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</si>
  <si>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</si>
  <si>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</si>
  <si>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</si>
  <si>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</si>
  <si>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</si>
  <si>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</si>
  <si>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</si>
  <si>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</si>
  <si>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</si>
  <si>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</si>
  <si>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</si>
  <si>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</si>
  <si>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</si>
  <si>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</si>
  <si>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</si>
  <si>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</si>
  <si>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</si>
  <si>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</si>
  <si>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</si>
  <si>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</si>
  <si>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</si>
  <si>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</si>
  <si>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</si>
  <si>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</si>
  <si>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</si>
  <si>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</si>
  <si>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</si>
  <si>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</si>
  <si>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</si>
  <si>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</si>
  <si>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</si>
  <si>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</si>
  <si>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</si>
  <si>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</si>
  <si>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</si>
  <si>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</si>
  <si>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</si>
  <si>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</si>
  <si>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</si>
  <si>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</si>
  <si>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</si>
  <si>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</si>
  <si>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</si>
  <si>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</si>
  <si>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</si>
  <si>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</si>
  <si>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</si>
  <si>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</si>
  <si>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</si>
  <si>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</si>
  <si>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</si>
  <si>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</si>
  <si>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</si>
  <si>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</si>
  <si>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</si>
  <si>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</si>
  <si>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</si>
  <si>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</si>
  <si>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</si>
  <si>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</si>
  <si>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</si>
  <si>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</si>
  <si>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</si>
  <si>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</si>
  <si>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</si>
  <si>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</si>
  <si>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</si>
  <si>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</si>
  <si>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</si>
  <si>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</si>
  <si>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</si>
  <si>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</si>
  <si>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</si>
  <si>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</si>
  <si>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</si>
  <si>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</si>
  <si>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</si>
  <si>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</si>
  <si>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</si>
  <si>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</si>
  <si>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</si>
  <si>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</si>
  <si>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</si>
  <si>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</si>
  <si>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</si>
  <si>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</si>
  <si>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</si>
  <si>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</si>
  <si>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</si>
  <si>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</si>
  <si>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</si>
  <si>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</si>
  <si>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</si>
  <si>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</si>
  <si>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</si>
  <si>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</si>
  <si>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</si>
  <si>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</si>
  <si>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</si>
  <si>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</si>
  <si>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</si>
  <si>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</si>
  <si>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</si>
  <si>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</si>
  <si>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</si>
  <si>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</si>
  <si>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</si>
  <si>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</si>
  <si>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</si>
  <si>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</si>
  <si>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</si>
  <si>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</si>
  <si>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</si>
  <si>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</si>
  <si>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</si>
  <si>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</si>
  <si>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</si>
  <si>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</si>
  <si>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</si>
  <si>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</si>
  <si>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</si>
  <si>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</si>
  <si>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</si>
  <si>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</si>
  <si>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</si>
  <si>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</si>
  <si>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</si>
  <si>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</si>
  <si>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</si>
  <si>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</si>
  <si>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</si>
  <si>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</si>
  <si>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</si>
  <si>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</si>
  <si>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</si>
  <si>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</si>
  <si>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</si>
  <si>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</si>
  <si>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</si>
  <si>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</si>
  <si>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</si>
  <si>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</si>
  <si>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</si>
  <si>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</si>
  <si>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</si>
  <si>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</si>
  <si>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</si>
  <si>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</si>
  <si>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</si>
  <si>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</si>
  <si>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</si>
  <si>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</si>
  <si>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</si>
  <si>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</si>
  <si>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</si>
  <si>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</si>
  <si>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</si>
  <si>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</si>
  <si>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</si>
  <si>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</si>
  <si>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</si>
  <si>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</si>
  <si>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</si>
  <si>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</si>
  <si>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</si>
  <si>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</si>
  <si>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</si>
  <si>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</si>
  <si>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</si>
  <si>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</si>
  <si>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</si>
  <si>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</si>
  <si>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</si>
  <si>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</si>
  <si>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</si>
  <si>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</si>
  <si>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</si>
  <si>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</si>
  <si>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</si>
  <si>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</si>
  <si>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</si>
  <si>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</si>
  <si>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</si>
  <si>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</si>
  <si>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</si>
  <si>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</si>
  <si>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</si>
  <si>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</si>
  <si>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</si>
  <si>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</si>
  <si>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</si>
  <si>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</si>
  <si>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</si>
  <si>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</si>
  <si>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</si>
  <si>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</si>
  <si>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</si>
  <si>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</si>
  <si>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</si>
  <si>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</si>
  <si>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</si>
  <si>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</si>
  <si>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</si>
  <si>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</si>
  <si>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</si>
  <si>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</si>
  <si>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</si>
  <si>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</si>
  <si>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</si>
  <si>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</si>
  <si>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</si>
  <si>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</si>
  <si>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</si>
  <si>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</si>
  <si>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</si>
  <si>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</si>
  <si>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</si>
  <si>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</si>
  <si>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</si>
  <si>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</si>
  <si>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</si>
  <si>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</si>
  <si>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</si>
  <si>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</si>
  <si>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</si>
  <si>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</si>
  <si>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</si>
  <si>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</si>
  <si>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</si>
  <si>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</si>
  <si>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</si>
  <si>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</si>
  <si>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</si>
  <si>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</si>
  <si>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</si>
  <si>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</si>
  <si>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</si>
  <si>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</si>
  <si>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</si>
  <si>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</si>
  <si>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</si>
  <si>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</si>
  <si>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</si>
  <si>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</si>
  <si>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</si>
  <si>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</si>
  <si>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</si>
  <si>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</si>
  <si>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</si>
  <si>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</si>
  <si>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</si>
  <si>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</si>
  <si>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</si>
  <si>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</si>
  <si>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</si>
  <si>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</si>
  <si>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</si>
  <si>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</si>
  <si>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</si>
  <si>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</si>
  <si>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</si>
  <si>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</si>
  <si>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</si>
  <si>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</si>
  <si>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</si>
  <si>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</si>
  <si>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</si>
  <si>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</si>
  <si>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</si>
  <si>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</si>
  <si>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</si>
  <si>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</si>
  <si>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</si>
  <si>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</si>
  <si>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</si>
  <si>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</si>
  <si>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</si>
  <si>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</si>
  <si>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</si>
  <si>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</si>
  <si>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</si>
  <si>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</si>
  <si>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</si>
  <si>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</si>
  <si>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</si>
  <si>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</si>
  <si>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</si>
  <si>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</si>
  <si>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</si>
  <si>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</si>
  <si>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</si>
  <si>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</si>
  <si>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</si>
  <si>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</si>
  <si>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</si>
  <si>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</si>
  <si>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</si>
  <si>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</si>
  <si>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</si>
  <si>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</si>
  <si>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</si>
  <si>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</si>
  <si>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</si>
  <si>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</si>
  <si>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</si>
  <si>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</si>
  <si>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</si>
  <si>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</si>
  <si>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</si>
  <si>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</si>
  <si>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</si>
  <si>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</si>
  <si>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</si>
  <si>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</si>
  <si>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</si>
  <si>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</si>
  <si>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</si>
  <si>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</si>
  <si>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</si>
  <si>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</si>
  <si>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</si>
  <si>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</si>
  <si>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</si>
  <si>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</si>
  <si>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</si>
  <si>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</si>
  <si>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</si>
  <si>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</si>
  <si>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</si>
  <si>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</si>
  <si>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</si>
  <si>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</si>
  <si>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</si>
  <si>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</si>
  <si>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</si>
  <si>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</si>
  <si>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</si>
  <si>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</si>
  <si>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</si>
  <si>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</si>
  <si>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</si>
  <si>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</si>
  <si>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</si>
  <si>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</si>
  <si>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</si>
  <si>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</si>
  <si>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</si>
  <si>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</si>
  <si>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</si>
  <si>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</si>
  <si>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</si>
  <si>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</si>
  <si>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</si>
  <si>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</si>
  <si>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</si>
  <si>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</si>
  <si>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</si>
  <si>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</si>
  <si>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</si>
  <si>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</si>
  <si>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</si>
  <si>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</si>
  <si>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</si>
  <si>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</si>
  <si>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</si>
  <si>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</si>
  <si>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</si>
  <si>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</si>
  <si>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</si>
  <si>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</si>
  <si>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</si>
  <si>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</si>
  <si>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</si>
  <si>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</si>
  <si>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</si>
  <si>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</si>
  <si>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</si>
  <si>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</si>
  <si>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</si>
  <si>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</si>
  <si>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</si>
  <si>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</si>
  <si>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</si>
  <si>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</si>
  <si>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</si>
  <si>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</si>
  <si>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</si>
  <si>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</si>
  <si>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</si>
  <si>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</si>
  <si>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</si>
  <si>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</si>
  <si>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</si>
  <si>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</si>
  <si>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</si>
  <si>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</si>
  <si>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</si>
  <si>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</si>
  <si>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</si>
  <si>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</si>
  <si>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</si>
  <si>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</si>
  <si>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</si>
  <si>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</si>
  <si>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</si>
  <si>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</si>
  <si>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</si>
  <si>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</si>
  <si>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</si>
  <si>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</si>
  <si>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</si>
  <si>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</si>
  <si>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</si>
  <si>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</si>
  <si>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</si>
  <si>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</si>
  <si>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</si>
  <si>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</si>
  <si>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</si>
  <si>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</si>
  <si>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</si>
  <si>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</si>
  <si>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</si>
  <si>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</si>
  <si>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</si>
  <si>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</si>
  <si>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</si>
  <si>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</si>
  <si>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</si>
  <si>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</si>
  <si>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</si>
  <si>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</si>
  <si>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</si>
  <si>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</si>
  <si>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</si>
  <si>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</si>
  <si>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</si>
  <si>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</si>
  <si>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</si>
  <si>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</si>
  <si>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</si>
  <si>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</si>
  <si>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</si>
  <si>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</si>
  <si>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</si>
  <si>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</si>
  <si>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</si>
  <si>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</si>
  <si>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</si>
  <si>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</si>
  <si>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</si>
  <si>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</si>
  <si>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</si>
  <si>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</si>
  <si>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</si>
  <si>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</si>
  <si>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</si>
  <si>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</si>
  <si>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</si>
  <si>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</si>
  <si>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</si>
  <si>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</si>
  <si>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</si>
  <si>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</si>
  <si>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</si>
  <si>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</si>
  <si>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</si>
  <si>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</si>
  <si>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</si>
  <si>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</si>
  <si>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</si>
  <si>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</si>
  <si>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</si>
  <si>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</si>
  <si>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</si>
  <si>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</si>
  <si>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</si>
  <si>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</si>
  <si>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</si>
  <si>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</si>
  <si>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</si>
  <si>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</si>
  <si>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</si>
  <si>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</si>
  <si>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</si>
  <si>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</si>
  <si>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</si>
  <si>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</si>
  <si>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</si>
  <si>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</si>
  <si>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</si>
  <si>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</si>
  <si>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</si>
  <si>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</si>
  <si>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</si>
  <si>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</si>
  <si>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</si>
  <si>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</si>
  <si>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</si>
  <si>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</si>
  <si>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</si>
  <si>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</si>
  <si>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</si>
  <si>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</si>
  <si>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</si>
  <si>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</si>
  <si>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</si>
  <si>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</si>
  <si>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</si>
  <si>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</si>
  <si>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</si>
  <si>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</si>
  <si>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</si>
  <si>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</si>
  <si>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</si>
  <si>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</si>
  <si>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</si>
  <si>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</si>
  <si>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</si>
  <si>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</si>
  <si>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</si>
  <si>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</si>
  <si>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</si>
  <si>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</si>
  <si>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</si>
  <si>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</si>
  <si>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</si>
  <si>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</si>
  <si>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</si>
  <si>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</si>
  <si>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</si>
  <si>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</si>
  <si>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</si>
  <si>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</si>
  <si>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</si>
  <si>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</si>
  <si>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</si>
  <si>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</si>
  <si>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</si>
  <si>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</si>
  <si>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</si>
  <si>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</si>
  <si>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</si>
  <si>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</si>
  <si>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</si>
  <si>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</si>
  <si>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</si>
  <si>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</si>
  <si>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</si>
  <si>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</si>
  <si>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</si>
  <si>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</si>
  <si>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</si>
  <si>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</si>
  <si>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</si>
  <si>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</si>
  <si>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</si>
  <si>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</si>
  <si>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</si>
  <si>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</si>
  <si>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</si>
  <si>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</si>
  <si>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</si>
  <si>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</si>
  <si>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</si>
  <si>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</si>
  <si>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</si>
  <si>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</si>
  <si>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</si>
  <si>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</si>
  <si>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</si>
  <si>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</si>
  <si>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</si>
  <si>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</si>
  <si>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</si>
  <si>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</si>
  <si>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</si>
  <si>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</si>
  <si>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</si>
  <si>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</si>
  <si>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</si>
  <si>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</si>
  <si>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</si>
  <si>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</si>
  <si>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</si>
  <si>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</si>
  <si>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</si>
  <si>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</si>
  <si>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</si>
  <si>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</si>
  <si>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</si>
  <si>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</si>
  <si>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</si>
  <si>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</si>
  <si>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</si>
  <si>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</si>
  <si>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</si>
  <si>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</si>
  <si>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</si>
  <si>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</si>
  <si>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</si>
  <si>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</si>
  <si>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</si>
  <si>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</si>
  <si>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</si>
  <si>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</si>
  <si>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</si>
  <si>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</si>
  <si>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</si>
  <si>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</si>
  <si>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</si>
  <si>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</si>
  <si>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</si>
  <si>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</si>
  <si>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</si>
  <si>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</si>
  <si>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</si>
  <si>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</si>
  <si>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</si>
  <si>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</si>
  <si>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</si>
  <si>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</si>
  <si>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</si>
  <si>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</si>
  <si>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</si>
  <si>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</si>
  <si>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</si>
  <si>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</si>
  <si>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</si>
  <si>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</si>
  <si>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</si>
  <si>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</si>
  <si>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</si>
  <si>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</si>
  <si>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</si>
  <si>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</si>
  <si>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</si>
  <si>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</si>
  <si>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</si>
  <si>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</si>
  <si>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</si>
  <si>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</si>
  <si>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</si>
  <si>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</si>
  <si>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</si>
  <si>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</si>
  <si>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</si>
  <si>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</si>
  <si>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</si>
  <si>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</si>
  <si>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</si>
  <si>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</si>
  <si>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</si>
  <si>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</si>
  <si>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</si>
  <si>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</si>
  <si>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</si>
  <si>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</si>
  <si>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</si>
  <si>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</si>
  <si>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</si>
  <si>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</si>
  <si>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</si>
  <si>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</si>
  <si>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</si>
  <si>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</si>
  <si>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</si>
  <si>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</si>
  <si>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</si>
  <si>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</si>
  <si>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</si>
  <si>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</si>
  <si>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</si>
  <si>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</si>
  <si>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</si>
  <si>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</si>
  <si>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</si>
  <si>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</si>
  <si>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</si>
  <si>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</si>
  <si>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</si>
  <si>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</si>
  <si>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</si>
  <si>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</si>
  <si>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</si>
  <si>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</si>
  <si>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</si>
  <si>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</si>
  <si>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</si>
  <si>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</si>
  <si>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</si>
  <si>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</si>
  <si>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</si>
  <si>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</si>
  <si>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</si>
  <si>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</si>
  <si>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</si>
  <si>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</si>
  <si>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</si>
  <si>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</si>
  <si>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</si>
  <si>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</si>
  <si>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</si>
  <si>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</si>
  <si>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</si>
  <si>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</si>
  <si>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</si>
  <si>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</si>
  <si>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</si>
  <si>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</si>
  <si>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</si>
  <si>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</si>
  <si>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</si>
  <si>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</si>
  <si>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</si>
  <si>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</si>
  <si>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</si>
  <si>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</si>
  <si>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</si>
  <si>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</si>
  <si>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</si>
  <si>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</si>
  <si>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</si>
  <si>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</si>
  <si>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</si>
  <si>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</si>
  <si>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</si>
  <si>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</si>
  <si>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</si>
  <si>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</si>
  <si>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</si>
  <si>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</si>
  <si>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</si>
  <si>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</si>
  <si>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</si>
  <si>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</si>
  <si>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</si>
  <si>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</si>
  <si>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</si>
  <si>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</si>
  <si>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</si>
  <si>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</si>
  <si>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</si>
  <si>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</si>
  <si>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</si>
  <si>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</si>
  <si>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</si>
  <si>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</si>
  <si>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</si>
  <si>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</si>
  <si>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</si>
  <si>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</si>
  <si>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</si>
  <si>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</si>
  <si>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</si>
  <si>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</si>
  <si>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</si>
  <si>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</si>
  <si>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</si>
  <si>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</si>
  <si>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</si>
  <si>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</si>
  <si>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</si>
  <si>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</si>
  <si>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</si>
  <si>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</si>
  <si>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</si>
  <si>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</si>
  <si>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</si>
  <si>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</si>
  <si>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</si>
  <si>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</si>
  <si>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</si>
  <si>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</si>
  <si>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</si>
  <si>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</si>
  <si>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</si>
  <si>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</si>
  <si>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</si>
  <si>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</si>
  <si>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</si>
  <si>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</si>
  <si>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</si>
  <si>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</si>
  <si>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</si>
  <si>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</si>
  <si>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</si>
  <si>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</si>
  <si>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</si>
  <si>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</si>
  <si>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</si>
  <si>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</si>
  <si>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</si>
  <si>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</si>
  <si>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</si>
  <si>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</si>
  <si>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</si>
  <si>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</si>
  <si>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</si>
  <si>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</si>
  <si>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</si>
  <si>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</si>
  <si>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</si>
  <si>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</si>
  <si>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</si>
  <si>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</si>
  <si>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</si>
  <si>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</si>
  <si>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</si>
  <si>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</si>
  <si>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</si>
  <si>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</si>
  <si>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</si>
  <si>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</si>
  <si>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</si>
  <si>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</si>
  <si>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</si>
  <si>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</si>
  <si>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</si>
  <si>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</si>
  <si>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</si>
  <si>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</si>
  <si>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</si>
  <si>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</si>
  <si>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</si>
  <si>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</si>
  <si>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</si>
  <si>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</si>
  <si>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</si>
  <si>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</si>
  <si>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</si>
  <si>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</si>
  <si>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</si>
  <si>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</si>
  <si>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</si>
  <si>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</si>
  <si>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</si>
  <si>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</si>
  <si>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</si>
  <si>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</si>
  <si>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</si>
  <si>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</si>
  <si>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</si>
  <si>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</si>
  <si>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</si>
  <si>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</si>
  <si>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</si>
  <si>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</si>
  <si>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</si>
  <si>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</si>
  <si>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</si>
  <si>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</si>
  <si>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</si>
  <si>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</si>
  <si>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</si>
  <si>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</si>
  <si>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</si>
  <si>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</si>
  <si>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</si>
  <si>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</si>
  <si>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</si>
  <si>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</si>
  <si>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</si>
  <si>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</si>
  <si>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</si>
  <si>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</si>
  <si>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</si>
  <si>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</si>
  <si>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</si>
  <si>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</si>
  <si>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</si>
  <si>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</si>
  <si>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</si>
  <si>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</si>
  <si>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</si>
  <si>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</si>
  <si>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</si>
  <si>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</si>
  <si>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</si>
  <si>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</si>
  <si>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</si>
  <si>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</si>
  <si>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</si>
  <si>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</si>
  <si>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</si>
  <si>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</si>
  <si>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</si>
  <si>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</si>
  <si>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</si>
  <si>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</si>
  <si>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</si>
  <si>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</si>
  <si>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</si>
  <si>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</si>
  <si>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</si>
  <si>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</si>
  <si>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</si>
  <si>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</si>
  <si>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</si>
  <si>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</si>
  <si>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</si>
  <si>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</si>
  <si>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</si>
  <si>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</si>
  <si>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</si>
  <si>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</si>
  <si>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</si>
  <si>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</si>
  <si>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</si>
  <si>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</si>
  <si>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</si>
  <si>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</si>
  <si>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</si>
  <si>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</si>
  <si>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</si>
  <si>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</si>
  <si>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</si>
  <si>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</si>
  <si>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</si>
  <si>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</si>
  <si>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</si>
  <si>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</si>
  <si>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</si>
  <si>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</si>
  <si>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</si>
  <si>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</si>
  <si>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</si>
  <si>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</si>
  <si>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</si>
  <si>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</si>
  <si>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</si>
  <si>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</si>
  <si>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</si>
  <si>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</si>
  <si>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</si>
  <si>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</si>
  <si>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</si>
  <si>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</si>
  <si>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</si>
  <si>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</si>
  <si>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</si>
  <si>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</si>
  <si>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</si>
  <si>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</si>
  <si>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</si>
  <si>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</si>
  <si>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</si>
  <si>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</si>
  <si>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</si>
  <si>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</si>
  <si>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</si>
  <si>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</si>
  <si>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</si>
  <si>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</si>
  <si>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</si>
  <si>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</si>
  <si>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</si>
  <si>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</si>
  <si>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</si>
  <si>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</si>
  <si>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</si>
  <si>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</si>
  <si>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</si>
  <si>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</si>
  <si>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</si>
  <si>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</si>
  <si>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</si>
  <si>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</si>
  <si>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</si>
  <si>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</si>
  <si>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</si>
  <si>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</si>
  <si>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</si>
  <si>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</si>
  <si>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</si>
  <si>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</si>
  <si>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</si>
  <si>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</si>
  <si>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</si>
  <si>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</si>
  <si>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</si>
  <si>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</si>
  <si>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</si>
  <si>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</si>
  <si>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</si>
  <si>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</si>
  <si>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</si>
  <si>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</si>
  <si>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</si>
  <si>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</si>
  <si>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</si>
  <si>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</si>
  <si>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</si>
  <si>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</si>
  <si>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</si>
  <si>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</si>
  <si>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</si>
  <si>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</si>
  <si>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</si>
  <si>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</si>
  <si>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</si>
  <si>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</si>
  <si>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</si>
  <si>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</si>
  <si>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</si>
  <si>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</si>
  <si>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</si>
  <si>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</si>
  <si>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</si>
  <si>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</si>
  <si>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</si>
  <si>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</si>
  <si>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</si>
  <si>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</si>
  <si>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</si>
  <si>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</si>
  <si>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</si>
  <si>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</si>
  <si>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</si>
  <si>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</si>
  <si>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</si>
  <si>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</si>
  <si>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</si>
  <si>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</si>
  <si>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</si>
  <si>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</si>
  <si>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</si>
  <si>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</si>
  <si>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</si>
  <si>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</si>
  <si>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</si>
  <si>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</si>
  <si>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</si>
  <si>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</si>
  <si>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</si>
  <si>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</si>
  <si>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</si>
  <si>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</si>
  <si>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</si>
  <si>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</si>
  <si>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</si>
  <si>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</si>
  <si>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</si>
  <si>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</si>
  <si>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</si>
  <si>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</si>
  <si>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</si>
  <si>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</si>
  <si>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</si>
  <si>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</si>
  <si>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</si>
  <si>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</si>
  <si>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</si>
  <si>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</si>
  <si>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</si>
  <si>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</si>
  <si>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</si>
  <si>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</si>
  <si>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</si>
  <si>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</si>
  <si>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</si>
  <si>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</si>
  <si>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</si>
  <si>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</si>
  <si>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</si>
  <si>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</si>
  <si>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</si>
  <si>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</si>
  <si>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</si>
  <si>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</si>
  <si>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</si>
  <si>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</si>
  <si>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</si>
  <si>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</si>
  <si>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</si>
  <si>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</si>
  <si>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</si>
  <si>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</si>
  <si>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</si>
  <si>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</si>
  <si>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</si>
  <si>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</si>
  <si>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</si>
  <si>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</si>
  <si>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</si>
  <si>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</si>
  <si>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</si>
  <si>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</si>
  <si>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</si>
  <si>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</si>
  <si>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</si>
  <si>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</si>
  <si>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</si>
  <si>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</si>
  <si>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</si>
  <si>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</si>
  <si>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</si>
  <si>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</si>
  <si>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</si>
  <si>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</si>
  <si>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</si>
  <si>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</si>
  <si>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</si>
  <si>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</si>
  <si>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</si>
  <si>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</si>
  <si>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</si>
  <si>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</si>
  <si>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</si>
  <si>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</si>
  <si>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</si>
  <si>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</si>
  <si>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</si>
  <si>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</si>
  <si>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</si>
  <si>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</si>
  <si>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</si>
  <si>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</si>
  <si>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</si>
  <si>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</si>
  <si>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</si>
  <si>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</si>
  <si>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</si>
  <si>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</si>
  <si>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</si>
  <si>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</si>
  <si>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</si>
  <si>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</si>
  <si>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</si>
  <si>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</si>
  <si>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</si>
  <si>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</si>
  <si>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</si>
  <si>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</si>
  <si>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</si>
  <si>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</si>
  <si>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</si>
  <si>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</si>
  <si>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</si>
  <si>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</si>
  <si>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</si>
  <si>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</si>
  <si>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</si>
  <si>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</si>
  <si>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</si>
  <si>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</si>
  <si>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</si>
  <si>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</si>
  <si>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</si>
  <si>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</si>
  <si>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</si>
  <si>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</si>
  <si>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</si>
  <si>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</si>
  <si>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</si>
  <si>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</si>
  <si>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</si>
  <si>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</si>
  <si>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</si>
  <si>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</si>
  <si>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</si>
  <si>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</si>
  <si>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</si>
  <si>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</si>
  <si>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</si>
  <si>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</si>
  <si>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</si>
  <si>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</si>
  <si>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</si>
  <si>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</si>
  <si>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</si>
  <si>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</si>
  <si>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</si>
  <si>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</si>
  <si>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</si>
  <si>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</si>
  <si>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</si>
  <si>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</si>
  <si>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</si>
  <si>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</si>
  <si>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</si>
  <si>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</si>
  <si>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</si>
  <si>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</si>
  <si>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</si>
  <si>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</si>
  <si>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</si>
  <si>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</si>
  <si>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</si>
  <si>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</si>
  <si>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</si>
  <si>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</si>
  <si>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</si>
  <si>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</si>
  <si>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</si>
  <si>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</si>
  <si>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</si>
  <si>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</si>
  <si>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</si>
  <si>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</si>
  <si>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</si>
  <si>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</si>
  <si>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</si>
  <si>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</si>
  <si>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</si>
  <si>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</si>
  <si>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</si>
  <si>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</si>
  <si>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</si>
  <si>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</si>
  <si>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</si>
  <si>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</si>
  <si>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</si>
  <si>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</si>
  <si>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</si>
  <si>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</si>
  <si>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</si>
  <si>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</si>
  <si>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</si>
  <si>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</si>
  <si>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</si>
  <si>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</si>
  <si>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</si>
  <si>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</si>
  <si>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</si>
  <si>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</si>
  <si>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</si>
  <si>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</si>
  <si>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</si>
  <si>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</si>
  <si>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</si>
  <si>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</si>
  <si>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</si>
  <si>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</si>
  <si>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</si>
  <si>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</si>
  <si>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</si>
  <si>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</si>
  <si>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</si>
  <si>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</si>
  <si>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</si>
  <si>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</si>
  <si>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</si>
  <si>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</si>
  <si>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</si>
  <si>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</si>
  <si>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</si>
  <si>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</si>
  <si>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</si>
  <si>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</si>
  <si>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</si>
  <si>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</si>
  <si>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</si>
  <si>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</si>
  <si>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</si>
  <si>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</si>
  <si>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</si>
  <si>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</si>
  <si>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</si>
  <si>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</si>
  <si>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</si>
  <si>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</si>
  <si>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</si>
  <si>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</si>
  <si>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</si>
  <si>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</si>
  <si>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</si>
  <si>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</si>
  <si>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</si>
  <si>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</si>
  <si>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</si>
  <si>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</si>
  <si>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</si>
  <si>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</si>
  <si>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</si>
  <si>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</si>
  <si>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</si>
  <si>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</si>
  <si>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</si>
  <si>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</si>
  <si>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</si>
  <si>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</si>
  <si>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</si>
  <si>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</si>
  <si>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</si>
  <si>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</si>
  <si>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</si>
  <si>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</si>
  <si>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</si>
  <si>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</si>
  <si>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</si>
  <si>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</si>
  <si>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</si>
  <si>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</si>
  <si>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</si>
  <si>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</si>
  <si>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</si>
  <si>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</si>
  <si>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</si>
  <si>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</si>
  <si>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</si>
  <si>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</si>
  <si>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</si>
  <si>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</si>
  <si>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</si>
  <si>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</si>
  <si>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</si>
  <si>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</si>
  <si>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</si>
  <si>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</si>
  <si>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</si>
  <si>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</si>
  <si>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</si>
  <si>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</si>
  <si>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</si>
  <si>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</si>
  <si>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</si>
  <si>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</si>
  <si>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</si>
  <si>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</si>
  <si>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</si>
  <si>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</si>
  <si>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</si>
  <si>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</si>
  <si>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</si>
  <si>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</si>
  <si>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</si>
  <si>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</si>
  <si>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</si>
  <si>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</si>
  <si>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</si>
  <si>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</si>
  <si>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</si>
  <si>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</si>
  <si>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</si>
  <si>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</si>
  <si>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</si>
  <si>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</si>
  <si>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</si>
  <si>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</si>
  <si>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</si>
  <si>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</si>
  <si>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</si>
  <si>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</si>
  <si>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</si>
  <si>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</si>
  <si>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</si>
  <si>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</si>
  <si>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</si>
  <si>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</si>
  <si>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</si>
  <si>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</si>
  <si>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</si>
  <si>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</si>
  <si>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</si>
  <si>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</si>
  <si>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</si>
  <si>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</si>
  <si>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</si>
  <si>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</si>
  <si>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</si>
  <si>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</si>
  <si>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</si>
  <si>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</si>
  <si>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</si>
  <si>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</si>
  <si>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</si>
  <si>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</si>
  <si>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</si>
  <si>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</si>
  <si>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</si>
  <si>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</si>
  <si>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</si>
  <si>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</si>
  <si>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</si>
  <si>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</si>
  <si>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</si>
  <si>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</si>
  <si>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</si>
  <si>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</si>
  <si>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</si>
  <si>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</si>
  <si>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</si>
  <si>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</si>
  <si>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</si>
  <si>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</si>
  <si>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</si>
  <si>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</si>
  <si>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</si>
  <si>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</si>
  <si>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</si>
  <si>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</si>
  <si>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</si>
  <si>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</si>
  <si>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</si>
  <si>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</si>
  <si>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</si>
  <si>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</si>
  <si>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</si>
  <si>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</si>
  <si>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</si>
  <si>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</si>
  <si>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</si>
  <si>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</si>
  <si>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</si>
  <si>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</si>
  <si>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</si>
  <si>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</si>
  <si>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</si>
  <si>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</si>
  <si>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</si>
  <si>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</si>
  <si>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</si>
  <si>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</si>
  <si>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</si>
  <si>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</si>
  <si>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</si>
  <si>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</si>
  <si>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</si>
  <si>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</si>
  <si>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</si>
  <si>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</si>
  <si>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</si>
  <si>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</si>
  <si>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</si>
  <si>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</si>
  <si>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</si>
  <si>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</si>
  <si>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</si>
  <si>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</si>
  <si>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</si>
  <si>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</si>
  <si>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</si>
  <si>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</si>
  <si>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</si>
  <si>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</si>
  <si>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</si>
  <si>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</si>
  <si>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</si>
  <si>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</si>
  <si>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</si>
  <si>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</si>
  <si>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</si>
  <si>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</si>
  <si>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</si>
  <si>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</si>
  <si>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</si>
  <si>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</si>
  <si>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</si>
  <si>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</si>
  <si>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</si>
  <si>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</si>
  <si>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</si>
  <si>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</si>
  <si>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</si>
  <si>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</si>
  <si>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</si>
  <si>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</si>
  <si>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</si>
  <si>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</si>
  <si>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</si>
  <si>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</si>
  <si>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</si>
  <si>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</si>
  <si>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</si>
  <si>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</si>
  <si>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</si>
  <si>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</si>
  <si>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</si>
  <si>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</si>
  <si>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</si>
  <si>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</si>
  <si>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</si>
  <si>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</si>
  <si>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</si>
  <si>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</si>
  <si>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</si>
  <si>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</si>
  <si>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</si>
  <si>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</si>
  <si>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</si>
  <si>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</si>
  <si>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</si>
  <si>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</si>
  <si>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</si>
  <si>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</si>
  <si>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</si>
  <si>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</si>
  <si>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</si>
  <si>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</si>
  <si>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</si>
  <si>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</si>
  <si>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</si>
  <si>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</si>
  <si>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</si>
  <si>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</si>
  <si>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</si>
  <si>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</si>
  <si>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</si>
  <si>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</si>
  <si>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</si>
  <si>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</si>
  <si>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</si>
  <si>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</si>
  <si>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</si>
  <si>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</si>
  <si>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</si>
  <si>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</si>
  <si>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</si>
  <si>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</si>
  <si>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</si>
  <si>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</si>
  <si>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</si>
  <si>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</si>
  <si>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</si>
  <si>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</si>
  <si>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</si>
  <si>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</si>
  <si>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</si>
  <si>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</si>
  <si>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</si>
  <si>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</si>
  <si>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</si>
  <si>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</si>
  <si>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</si>
  <si>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</si>
  <si>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</si>
  <si>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</si>
  <si>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</si>
  <si>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</si>
  <si>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</si>
  <si>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</si>
  <si>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</si>
  <si>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</si>
  <si>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</si>
  <si>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</si>
  <si>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</si>
  <si>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</si>
  <si>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</si>
  <si>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</si>
  <si>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</si>
  <si>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</si>
  <si>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</si>
  <si>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</si>
  <si>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</si>
  <si>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</si>
  <si>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</si>
  <si>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</si>
  <si>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</si>
  <si>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</si>
  <si>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</si>
  <si>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</si>
  <si>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</si>
  <si>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</si>
  <si>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</si>
  <si>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</si>
  <si>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</si>
  <si>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</si>
  <si>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</si>
  <si>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</si>
  <si>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</si>
  <si>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</si>
  <si>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</si>
  <si>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</si>
  <si>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</si>
  <si>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</si>
  <si>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</si>
  <si>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</si>
  <si>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</si>
  <si>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</si>
  <si>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</si>
  <si>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</si>
  <si>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</si>
  <si>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</si>
  <si>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</si>
  <si>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</si>
  <si>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</si>
  <si>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</si>
  <si>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</si>
  <si>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</si>
  <si>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</si>
  <si>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</si>
  <si>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</si>
  <si>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</si>
  <si>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</si>
  <si>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</si>
  <si>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</si>
  <si>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</si>
  <si>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</si>
  <si>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</si>
  <si>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</si>
  <si>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</si>
  <si>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</si>
  <si>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</si>
  <si>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</si>
  <si>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</si>
  <si>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</si>
  <si>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</si>
  <si>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</si>
  <si>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</si>
  <si>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</si>
  <si>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</si>
  <si>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</si>
  <si>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</si>
  <si>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</si>
  <si>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</si>
  <si>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</si>
  <si>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</si>
  <si>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</si>
  <si>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</si>
  <si>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</si>
  <si>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</si>
  <si>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</si>
  <si>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</si>
  <si>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</si>
  <si>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</si>
  <si>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</si>
  <si>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</si>
  <si>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</si>
  <si>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</si>
  <si>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</si>
  <si>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</si>
  <si>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</si>
  <si>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</si>
  <si>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</si>
  <si>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</si>
  <si>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</si>
  <si>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</si>
  <si>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</si>
  <si>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</si>
  <si>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</si>
  <si>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</si>
  <si>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</si>
  <si>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</si>
  <si>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</si>
  <si>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</si>
  <si>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</si>
  <si>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</si>
  <si>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</si>
  <si>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</si>
  <si>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</si>
  <si>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</si>
  <si>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</si>
  <si>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</si>
  <si>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</si>
  <si>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</si>
  <si>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</si>
  <si>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</si>
  <si>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</si>
  <si>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</si>
  <si>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</si>
  <si>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</si>
  <si>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</si>
  <si>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</si>
  <si>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</si>
  <si>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</si>
  <si>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</si>
  <si>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</si>
  <si>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</si>
  <si>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</si>
  <si>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</si>
  <si>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</si>
  <si>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</si>
  <si>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</si>
  <si>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</si>
  <si>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</si>
  <si>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</si>
  <si>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</si>
  <si>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</si>
  <si>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</si>
  <si>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</si>
  <si>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</si>
  <si>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</si>
  <si>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</si>
  <si>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</si>
  <si>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</si>
  <si>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</si>
  <si>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</si>
  <si>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</si>
  <si>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</si>
  <si>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</si>
  <si>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</si>
  <si>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</si>
  <si>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</si>
  <si>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</si>
  <si>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</si>
  <si>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</si>
  <si>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</si>
  <si>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</si>
  <si>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</si>
  <si>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</si>
  <si>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</si>
  <si>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</si>
  <si>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</si>
  <si>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</si>
  <si>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</si>
  <si>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</si>
  <si>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</si>
  <si>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</si>
  <si>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</si>
  <si>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</si>
  <si>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</si>
  <si>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</si>
  <si>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</si>
  <si>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</si>
  <si>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</si>
  <si>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</si>
  <si>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</si>
  <si>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</si>
  <si>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</si>
  <si>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</si>
  <si>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</si>
  <si>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</si>
  <si>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</si>
  <si>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</si>
  <si>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</si>
  <si>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</si>
  <si>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</si>
  <si>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</si>
  <si>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</si>
  <si>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</si>
  <si>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</si>
  <si>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</si>
  <si>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</si>
  <si>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</si>
  <si>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</si>
  <si>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</si>
  <si>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</si>
  <si>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</si>
  <si>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</si>
  <si>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</si>
  <si>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</si>
  <si>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</si>
  <si>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</si>
  <si>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</si>
  <si>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</si>
  <si>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</si>
  <si>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</si>
  <si>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</si>
  <si>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</si>
  <si>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</si>
  <si>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</si>
  <si>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</si>
  <si>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</si>
  <si>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</si>
  <si>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</si>
  <si>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</si>
  <si>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</si>
  <si>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</si>
  <si>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</si>
  <si>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</si>
  <si>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</si>
  <si>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</si>
  <si>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</si>
  <si>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</si>
  <si>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</si>
  <si>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</si>
  <si>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</si>
  <si>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</si>
  <si>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</si>
  <si>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</si>
  <si>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</si>
  <si>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</si>
  <si>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</si>
  <si>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</si>
  <si>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</si>
  <si>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</si>
  <si>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</si>
  <si>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</si>
  <si>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</si>
  <si>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</si>
  <si>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</si>
  <si>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</si>
  <si>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</si>
  <si>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</si>
  <si>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</si>
  <si>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</si>
  <si>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</si>
  <si>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</si>
  <si>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</si>
  <si>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</si>
  <si>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</si>
  <si>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</si>
  <si>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</si>
  <si>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</si>
  <si>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</si>
  <si>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</si>
  <si>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</si>
  <si>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</si>
  <si>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</si>
  <si>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</si>
  <si>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</si>
  <si>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</si>
  <si>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</si>
  <si>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</si>
  <si>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</si>
  <si>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</si>
  <si>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</si>
  <si>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</si>
  <si>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</si>
  <si>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</si>
  <si>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</si>
  <si>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</si>
  <si>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</si>
  <si>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</si>
  <si>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</si>
  <si>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</si>
  <si>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</si>
  <si>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</si>
  <si>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</si>
  <si>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</si>
  <si>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</si>
  <si>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</si>
  <si>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</si>
  <si>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</si>
  <si>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</si>
  <si>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</si>
  <si>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</si>
  <si>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</si>
  <si>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</si>
  <si>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</si>
  <si>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</si>
  <si>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</si>
  <si>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</si>
  <si>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</si>
  <si>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</si>
  <si>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</si>
  <si>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</si>
  <si>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</si>
  <si>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</si>
  <si>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</si>
  <si>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</si>
  <si>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</si>
  <si>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</si>
  <si>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</si>
  <si>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</si>
  <si>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</si>
  <si>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</si>
  <si>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</si>
  <si>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</si>
  <si>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</si>
  <si>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</si>
  <si>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</si>
  <si>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</si>
  <si>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</si>
  <si>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</si>
  <si>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</si>
  <si>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</si>
  <si>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</si>
  <si>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</si>
  <si>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</si>
  <si>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</si>
  <si>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</si>
  <si>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</si>
  <si>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</si>
  <si>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</si>
  <si>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</si>
  <si>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</si>
  <si>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</si>
  <si>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</si>
  <si>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</si>
  <si>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</si>
  <si>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</si>
  <si>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</si>
  <si>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</si>
  <si>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</si>
  <si>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</si>
  <si>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</si>
  <si>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</si>
  <si>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</si>
  <si>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</si>
  <si>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</si>
  <si>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</si>
  <si>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</si>
  <si>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</si>
  <si>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</si>
  <si>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</si>
  <si>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</si>
  <si>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</si>
  <si>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</si>
  <si>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</si>
  <si>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</si>
  <si>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</si>
  <si>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</si>
  <si>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</si>
  <si>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</si>
  <si>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</si>
  <si>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</si>
  <si>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</si>
  <si>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</si>
  <si>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</si>
  <si>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</si>
  <si>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</si>
  <si>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</si>
  <si>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</si>
  <si>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</si>
  <si>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</si>
  <si>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</si>
  <si>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</si>
  <si>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</si>
  <si>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</si>
  <si>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</si>
  <si>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</si>
  <si>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</si>
  <si>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</si>
  <si>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</si>
  <si>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</si>
  <si>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</si>
  <si>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</si>
  <si>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</si>
  <si>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</si>
  <si>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</si>
  <si>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</si>
  <si>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</si>
  <si>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</si>
  <si>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</si>
  <si>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</si>
  <si>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</si>
  <si>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</si>
  <si>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</si>
  <si>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</si>
  <si>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</si>
  <si>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</si>
  <si>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</si>
  <si>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</si>
  <si>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</si>
  <si>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</si>
  <si>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</si>
  <si>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</si>
  <si>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</si>
  <si>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</si>
  <si>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</si>
  <si>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</si>
  <si>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</si>
  <si>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</si>
  <si>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</si>
  <si>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</si>
  <si>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</si>
  <si>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</si>
  <si>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</si>
  <si>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</si>
  <si>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</si>
  <si>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</si>
  <si>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</si>
  <si>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</si>
  <si>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</si>
  <si>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</si>
  <si>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</si>
  <si>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</si>
  <si>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</si>
  <si>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</si>
  <si>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</si>
  <si>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</si>
  <si>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</si>
  <si>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</si>
  <si>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</si>
  <si>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</si>
  <si>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</si>
  <si>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</si>
  <si>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</si>
  <si>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</si>
  <si>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</si>
  <si>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</si>
  <si>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</si>
  <si>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</si>
  <si>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</si>
  <si>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</si>
  <si>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</si>
  <si>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</si>
  <si>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</si>
  <si>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</si>
  <si>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</si>
  <si>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</si>
  <si>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</si>
  <si>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</si>
  <si>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</si>
  <si>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</si>
  <si>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</si>
  <si>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</si>
  <si>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</si>
  <si>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</si>
  <si>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</si>
  <si>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</si>
  <si>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</si>
  <si>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</si>
  <si>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</si>
  <si>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</si>
  <si>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</si>
  <si>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</si>
  <si>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</si>
  <si>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</si>
  <si>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</si>
  <si>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</si>
  <si>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</si>
  <si>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</si>
  <si>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</si>
  <si>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</si>
  <si>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</si>
  <si>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</si>
  <si>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</si>
  <si>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</si>
  <si>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</si>
  <si>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</si>
  <si>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</si>
  <si>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</si>
  <si>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</si>
  <si>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</si>
  <si>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</si>
  <si>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</si>
  <si>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</si>
  <si>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</si>
  <si>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</si>
  <si>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</si>
  <si>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</si>
  <si>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</si>
  <si>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</si>
  <si>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</si>
  <si>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</si>
  <si>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</si>
  <si>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</si>
  <si>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</si>
  <si>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</si>
  <si>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</si>
  <si>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</si>
  <si>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</si>
  <si>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</si>
  <si>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</si>
  <si>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</si>
  <si>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</si>
  <si>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</si>
  <si>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</si>
  <si>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</si>
  <si>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</si>
  <si>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</si>
  <si>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</si>
  <si>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</si>
  <si>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</si>
  <si>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</si>
  <si>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</si>
  <si>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</si>
  <si>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</si>
  <si>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</si>
  <si>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</si>
  <si>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</si>
  <si>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</si>
  <si>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</si>
  <si>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</si>
  <si>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</si>
  <si>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</si>
  <si>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</si>
  <si>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</si>
  <si>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</si>
  <si>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</si>
  <si>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</si>
  <si>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</si>
  <si>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</si>
  <si>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</si>
  <si>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</si>
  <si>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</si>
  <si>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</si>
  <si>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</si>
  <si>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</si>
  <si>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</si>
  <si>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</si>
  <si>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</si>
  <si>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</si>
  <si>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</si>
  <si>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</si>
  <si>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</si>
  <si>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</si>
  <si>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</si>
  <si>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</si>
  <si>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</si>
  <si>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</si>
  <si>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</si>
  <si>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</si>
  <si>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</si>
  <si>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</si>
  <si>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</si>
  <si>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</si>
  <si>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</si>
  <si>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</si>
  <si>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</si>
  <si>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</si>
  <si>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</si>
  <si>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</si>
  <si>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</si>
  <si>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</si>
  <si>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</si>
  <si>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</si>
  <si>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</si>
  <si>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</si>
  <si>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</si>
  <si>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</si>
  <si>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</si>
  <si>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</si>
  <si>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</si>
  <si>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</si>
  <si>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</si>
  <si>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</si>
  <si>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</si>
  <si>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</si>
  <si>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</si>
  <si>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</si>
  <si>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</si>
  <si>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</si>
  <si>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</si>
  <si>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</si>
  <si>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</si>
  <si>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</si>
  <si>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</si>
  <si>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</si>
  <si>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</si>
  <si>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</si>
  <si>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</si>
  <si>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</si>
  <si>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</si>
  <si>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</si>
  <si>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</si>
  <si>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</si>
  <si>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</si>
  <si>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</si>
  <si>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</si>
  <si>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</si>
  <si>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</si>
  <si>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</si>
  <si>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</si>
  <si>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</si>
  <si>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</si>
  <si>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</si>
  <si>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</si>
  <si>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</si>
  <si>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</si>
  <si>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</si>
  <si>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</si>
  <si>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</si>
  <si>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</si>
  <si>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</si>
  <si>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</si>
  <si>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</si>
  <si>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</si>
  <si>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</si>
  <si>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</si>
  <si>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</si>
  <si>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</si>
  <si>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</si>
  <si>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</si>
  <si>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</si>
  <si>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</si>
  <si>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</si>
  <si>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</si>
  <si>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</si>
  <si>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</si>
  <si>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</si>
  <si>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</si>
  <si>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</si>
  <si>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</si>
  <si>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</si>
  <si>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</si>
  <si>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</si>
  <si>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</si>
  <si>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</si>
  <si>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</si>
  <si>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</si>
  <si>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</si>
  <si>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</si>
  <si>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</si>
  <si>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</si>
  <si>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</si>
  <si>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</si>
  <si>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</si>
  <si>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</si>
  <si>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</si>
  <si>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</si>
  <si>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</si>
  <si>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</si>
  <si>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</si>
  <si>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</si>
  <si>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</si>
  <si>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</si>
  <si>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</si>
  <si>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</si>
  <si>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</si>
  <si>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</si>
  <si>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</si>
  <si>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</si>
  <si>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</si>
  <si>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</si>
  <si>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</si>
  <si>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</si>
  <si>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</si>
  <si>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</si>
  <si>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</si>
  <si>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</si>
  <si>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</si>
  <si>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</si>
  <si>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</si>
  <si>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</si>
  <si>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</si>
  <si>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</si>
  <si>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</si>
  <si>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</si>
  <si>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</si>
  <si>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</si>
  <si>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</si>
  <si>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</si>
  <si>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</si>
  <si>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</si>
  <si>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</si>
  <si>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</si>
  <si>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</si>
  <si>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</si>
  <si>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</si>
  <si>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</si>
  <si>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</si>
  <si>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</si>
  <si>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</si>
  <si>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</si>
  <si>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</si>
  <si>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</si>
  <si>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</si>
  <si>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</si>
  <si>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</si>
  <si>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</si>
  <si>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</si>
  <si>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</si>
  <si>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</si>
  <si>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</si>
  <si>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</si>
  <si>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</si>
  <si>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</si>
  <si>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</si>
  <si>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</si>
  <si>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</si>
  <si>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</si>
  <si>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</si>
  <si>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</si>
  <si>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</si>
  <si>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</si>
  <si>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</si>
  <si>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</si>
  <si>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</si>
  <si>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</si>
  <si>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</si>
  <si>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</si>
  <si>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</si>
  <si>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</si>
  <si>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</si>
  <si>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</si>
  <si>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</si>
  <si>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</si>
  <si>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</si>
  <si>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</si>
  <si>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</si>
  <si>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</si>
  <si>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</si>
  <si>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</si>
  <si>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</si>
  <si>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</si>
  <si>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</si>
  <si>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</si>
  <si>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</si>
  <si>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</si>
  <si>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</si>
  <si>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</si>
  <si>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</si>
  <si>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</si>
  <si>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</si>
  <si>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</si>
  <si>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</si>
  <si>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</si>
  <si>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</si>
  <si>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</si>
  <si>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</si>
  <si>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</si>
  <si>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</si>
  <si>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</si>
  <si>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</si>
  <si>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</si>
  <si>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</si>
  <si>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</si>
  <si>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</si>
  <si>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</si>
  <si>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</si>
  <si>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</si>
  <si>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</si>
  <si>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</si>
  <si>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</si>
  <si>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</si>
  <si>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</si>
  <si>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</si>
  <si>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</si>
  <si>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</si>
  <si>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</si>
  <si>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</si>
  <si>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</si>
  <si>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</si>
  <si>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</si>
  <si>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</si>
  <si>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</si>
  <si>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</si>
  <si>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</si>
  <si>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</si>
  <si>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</si>
  <si>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</si>
  <si>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</si>
  <si>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</si>
  <si>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</si>
  <si>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</si>
  <si>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</si>
  <si>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</si>
  <si>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</si>
  <si>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</si>
  <si>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</si>
  <si>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</si>
  <si>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</si>
  <si>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</si>
  <si>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</si>
  <si>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</si>
  <si>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</si>
  <si>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</si>
  <si>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</si>
  <si>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</si>
  <si>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</si>
  <si>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</si>
  <si>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</si>
  <si>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</si>
  <si>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</si>
  <si>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</si>
  <si>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</si>
  <si>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</si>
  <si>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</si>
  <si>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</si>
  <si>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</si>
  <si>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</si>
  <si>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</si>
  <si>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</si>
  <si>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</si>
  <si>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</si>
  <si>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</si>
  <si>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</si>
  <si>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</si>
  <si>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</si>
  <si>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</si>
  <si>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</si>
  <si>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</si>
  <si>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</si>
  <si>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</si>
  <si>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</si>
  <si>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</si>
  <si>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</si>
  <si>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</si>
  <si>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</si>
  <si>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</si>
  <si>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</si>
  <si>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</si>
  <si>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</si>
  <si>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</si>
  <si>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</si>
  <si>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</si>
  <si>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</si>
  <si>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</si>
  <si>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</si>
  <si>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</si>
  <si>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</si>
  <si>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</si>
  <si>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</si>
  <si>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</si>
  <si>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</si>
  <si>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</si>
  <si>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</si>
  <si>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</si>
  <si>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</si>
  <si>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</si>
  <si>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</si>
  <si>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</si>
  <si>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</si>
  <si>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</si>
  <si>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</si>
  <si>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</si>
  <si>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</si>
  <si>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</si>
  <si>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</si>
  <si>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</si>
  <si>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</si>
  <si>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</si>
  <si>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</si>
  <si>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</si>
  <si>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</si>
  <si>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</si>
  <si>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</si>
  <si>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</si>
  <si>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</si>
  <si>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</si>
  <si>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</si>
  <si>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</si>
  <si>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</si>
  <si>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</si>
  <si>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</si>
  <si>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</si>
  <si>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</si>
  <si>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</si>
  <si>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</si>
  <si>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</si>
  <si>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</si>
  <si>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</si>
  <si>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</si>
  <si>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</si>
  <si>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</si>
  <si>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</si>
  <si>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</si>
  <si>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</si>
  <si>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</si>
  <si>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</si>
  <si>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</si>
  <si>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</si>
  <si>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</si>
  <si>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</si>
  <si>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</si>
  <si>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</si>
  <si>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</si>
  <si>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</si>
  <si>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</si>
  <si>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</si>
  <si>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</si>
  <si>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</si>
  <si>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</si>
  <si>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</si>
  <si>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</si>
  <si>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</si>
  <si>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</si>
  <si>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</si>
  <si>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</si>
  <si>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</si>
  <si>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</si>
  <si>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</si>
  <si>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</si>
  <si>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</si>
  <si>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</si>
  <si>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</si>
  <si>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</si>
  <si>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</si>
  <si>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</si>
  <si>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</si>
  <si>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</si>
  <si>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</si>
  <si>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</si>
  <si>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</si>
  <si>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</si>
  <si>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</si>
  <si>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</si>
  <si>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</si>
  <si>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</si>
  <si>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</si>
  <si>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</si>
  <si>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</si>
  <si>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</si>
  <si>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</si>
  <si>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</si>
  <si>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</si>
  <si>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</si>
  <si>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</si>
  <si>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</si>
  <si>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</si>
  <si>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</si>
  <si>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</si>
  <si>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</si>
  <si>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</si>
  <si>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</si>
  <si>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</si>
  <si>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</si>
  <si>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</si>
  <si>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</si>
  <si>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</si>
  <si>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</si>
  <si>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</si>
  <si>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</si>
  <si>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</si>
  <si>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</si>
  <si>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</si>
  <si>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</si>
  <si>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</si>
  <si>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</si>
  <si>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</si>
  <si>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</si>
  <si>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</si>
  <si>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</si>
  <si>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</si>
  <si>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</si>
  <si>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</si>
  <si>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</si>
  <si>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</si>
  <si>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</si>
  <si>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</si>
  <si>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</si>
  <si>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</si>
  <si>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</si>
  <si>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</si>
  <si>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</si>
  <si>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</si>
  <si>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</si>
  <si>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</si>
  <si>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</si>
  <si>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</si>
  <si>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</si>
  <si>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</si>
  <si>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</si>
  <si>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</si>
  <si>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</si>
  <si>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</si>
  <si>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</si>
  <si>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</si>
  <si>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</si>
  <si>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</si>
  <si>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</si>
  <si>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</si>
  <si>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</si>
  <si>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</si>
  <si>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</si>
  <si>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Pletronics, Inc.</t>
  </si>
  <si>
    <t>03-851-6464</t>
  </si>
  <si>
    <t>DUNS</t>
  </si>
  <si>
    <t>19013 36th Ave W, Lynnwood WA 98036</t>
  </si>
  <si>
    <t>Bruce Clark</t>
  </si>
  <si>
    <t>bclark@pletronics.com</t>
  </si>
  <si>
    <t>425-384-2865</t>
  </si>
  <si>
    <t>CID001076; CID001277; CID001891; CID001969; CID002492; CID002505; CID002539; CID002544; CID002545; CID002548; CID002549; CID002550; CID002557</t>
  </si>
  <si>
    <t>CID000438; CID001898; CID002756; CID003387</t>
  </si>
  <si>
    <t>CID000568; CID002044; CID002320; CID002502; CID002541; CID002543</t>
  </si>
  <si>
    <t>100%</t>
  </si>
  <si>
    <t>www.pletronics.com/wp-content/uploads/2023/06/Conflict-Minerals-Policy.pdf</t>
  </si>
  <si>
    <t>recycled or scrap</t>
  </si>
  <si>
    <t>Cuiaba; Lamego</t>
  </si>
  <si>
    <t>Brazil</t>
  </si>
  <si>
    <t>Skelleftehamn</t>
  </si>
  <si>
    <t>Kuyumcukent</t>
  </si>
  <si>
    <t>Ōita</t>
  </si>
  <si>
    <t>Collahuasi, Los Pelambres, Escondida, Collahuasi</t>
  </si>
  <si>
    <t>Chile</t>
  </si>
  <si>
    <t>Magna</t>
  </si>
  <si>
    <t>Iruma</t>
  </si>
  <si>
    <t>Kwai Chung</t>
  </si>
  <si>
    <t>Copper Mountain, Escondida, Los Pelambres</t>
  </si>
  <si>
    <t>Canada, Chile</t>
  </si>
  <si>
    <t>Bahçelievler</t>
  </si>
  <si>
    <t>Saijo</t>
  </si>
  <si>
    <t>Morenci, Cerro Verde, Sierra Gorda, 
Candelaria, Ojos del Salado, Hishikari</t>
  </si>
  <si>
    <t>United States, Peru, Chile, Japan</t>
  </si>
  <si>
    <t>Hiratsuka</t>
  </si>
  <si>
    <t>Kuki</t>
  </si>
  <si>
    <t>Newburn</t>
  </si>
  <si>
    <t>Alpha</t>
  </si>
  <si>
    <t>Empresa Minera Huanuni; Empresa Minera Colquiri</t>
  </si>
  <si>
    <t>Bolivia</t>
  </si>
  <si>
    <t>recycle or scrap</t>
  </si>
  <si>
    <t>Alphamin BISIE</t>
  </si>
  <si>
    <t>Bugarura; Kuluti</t>
  </si>
  <si>
    <t>China</t>
  </si>
  <si>
    <t>Global Tungsten &amp; Powders Corp.</t>
  </si>
  <si>
    <t>China, Philippines, Spain,Rwanda, Vietnam, DRC, Bolivia</t>
  </si>
  <si>
    <t>Minas gerias</t>
  </si>
  <si>
    <t>Pitinga</t>
  </si>
  <si>
    <t>Gastonia</t>
  </si>
  <si>
    <t>Mito</t>
  </si>
  <si>
    <t>CID003583</t>
  </si>
  <si>
    <t>RFH Yancheng Jinye New Material Technology Co., Ltd.</t>
  </si>
  <si>
    <t>Yancheng</t>
  </si>
  <si>
    <t>Jiangsu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</si>
</sst>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bclark@pletronics.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www.pletronics.com/wp-content/uploads/2023/06/Conflict-Minerals-Policy.pdf" TargetMode="External"/><Relationship Id="rId4" Type="http://schemas.openxmlformats.org/officeDocument/2006/relationships/hyperlink" Target="mailto:bclark@pletronics.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45"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73"/>
      <c r="B2" s="4" t="s">
        <v>807</v>
      </c>
      <c r="C2" s="2"/>
      <c r="D2" s="159"/>
      <c r="E2" s="2"/>
      <c r="F2" s="2"/>
      <c r="G2" s="24"/>
    </row>
    <row r="3" spans="1:7">
      <c r="A3" s="373"/>
      <c r="B3" s="2" t="s">
        <v>800</v>
      </c>
      <c r="C3" s="4"/>
      <c r="D3" s="160"/>
      <c r="E3" s="2"/>
      <c r="F3" s="4"/>
      <c r="G3" s="24"/>
    </row>
    <row r="4" spans="1:7" ht="15.75">
      <c r="A4" s="373"/>
      <c r="B4" s="27" t="s">
        <v>809</v>
      </c>
      <c r="C4" s="5"/>
      <c r="D4" s="161"/>
      <c r="E4" s="2"/>
      <c r="F4" s="5"/>
      <c r="G4" s="24"/>
    </row>
    <row r="5" spans="1:7">
      <c r="A5" s="373"/>
      <c r="B5" s="26" t="s">
        <v>998</v>
      </c>
      <c r="C5" s="3"/>
      <c r="D5" s="162"/>
      <c r="E5" s="2"/>
      <c r="F5" s="3"/>
      <c r="G5" s="24"/>
    </row>
    <row r="6" spans="1:7">
      <c r="A6" s="373"/>
      <c r="B6" s="2"/>
      <c r="C6" s="2"/>
      <c r="D6" s="159"/>
      <c r="E6" s="2"/>
      <c r="F6" s="2"/>
      <c r="G6" s="24"/>
    </row>
    <row r="7" spans="1:7">
      <c r="A7" s="373"/>
      <c r="B7" s="2"/>
      <c r="C7" s="2"/>
      <c r="D7" s="159"/>
      <c r="E7" s="2"/>
      <c r="F7" s="2"/>
      <c r="G7" s="24"/>
    </row>
    <row r="8" spans="1:7">
      <c r="A8" s="373"/>
      <c r="B8" s="2"/>
      <c r="C8" s="2"/>
      <c r="D8" s="159"/>
      <c r="E8" s="2"/>
      <c r="F8" s="2"/>
      <c r="G8" s="24"/>
    </row>
    <row r="9" spans="1:7">
      <c r="A9" s="373"/>
      <c r="B9" s="376" t="s">
        <v>810</v>
      </c>
      <c r="C9" s="376"/>
      <c r="D9" s="376"/>
      <c r="E9" s="376"/>
      <c r="F9" s="376"/>
      <c r="G9" s="24"/>
    </row>
    <row r="10" spans="1:7" ht="27" customHeight="1">
      <c r="A10" s="373"/>
      <c r="B10" s="377" t="s">
        <v>423</v>
      </c>
      <c r="C10" s="377"/>
      <c r="D10" s="377"/>
      <c r="E10" s="377"/>
      <c r="F10" s="377"/>
      <c r="G10" s="24"/>
    </row>
    <row r="11" spans="1:7" ht="27" customHeight="1">
      <c r="A11" s="373"/>
      <c r="B11" s="378"/>
      <c r="C11" s="378"/>
      <c r="D11" s="378"/>
      <c r="E11" s="378"/>
      <c r="F11" s="378"/>
      <c r="G11" s="24"/>
    </row>
    <row r="12" spans="1:7">
      <c r="A12" s="373"/>
      <c r="B12" s="28" t="s">
        <v>808</v>
      </c>
      <c r="C12" s="29" t="s">
        <v>811</v>
      </c>
      <c r="D12" s="163" t="s">
        <v>812</v>
      </c>
      <c r="E12" s="29" t="s">
        <v>593</v>
      </c>
      <c r="F12" s="29" t="s">
        <v>594</v>
      </c>
      <c r="G12" s="24"/>
    </row>
    <row r="13" spans="1:7" ht="33.75">
      <c r="A13" s="373"/>
      <c r="B13" s="275">
        <v>1</v>
      </c>
      <c r="C13" s="276" t="s">
        <v>1046</v>
      </c>
      <c r="D13" s="277" t="s">
        <v>836</v>
      </c>
      <c r="E13" s="278" t="s">
        <v>813</v>
      </c>
      <c r="F13" s="278"/>
      <c r="G13" s="24"/>
    </row>
    <row r="14" spans="1:7" ht="56.25">
      <c r="A14" s="373"/>
      <c r="B14" s="275">
        <v>2</v>
      </c>
      <c r="C14" s="276" t="s">
        <v>1046</v>
      </c>
      <c r="D14" s="277" t="s">
        <v>983</v>
      </c>
      <c r="E14" s="278" t="s">
        <v>513</v>
      </c>
      <c r="F14" s="278" t="s">
        <v>514</v>
      </c>
      <c r="G14" s="24"/>
    </row>
    <row r="15" spans="1:7" ht="89.1" customHeight="1">
      <c r="A15" s="373"/>
      <c r="B15" s="358">
        <v>2.0099999999999998</v>
      </c>
      <c r="C15" s="370" t="s">
        <v>1046</v>
      </c>
      <c r="D15" s="379" t="s">
        <v>2150</v>
      </c>
      <c r="E15" s="279" t="s">
        <v>595</v>
      </c>
      <c r="F15" s="279" t="s">
        <v>598</v>
      </c>
      <c r="G15" s="24"/>
    </row>
    <row r="16" spans="1:7" ht="99" customHeight="1">
      <c r="A16" s="373"/>
      <c r="B16" s="359"/>
      <c r="C16" s="371"/>
      <c r="D16" s="380"/>
      <c r="E16" s="280"/>
      <c r="F16" s="280" t="s">
        <v>596</v>
      </c>
      <c r="G16" s="24"/>
    </row>
    <row r="17" spans="1:7" ht="63" customHeight="1">
      <c r="A17" s="373"/>
      <c r="B17" s="360"/>
      <c r="C17" s="372"/>
      <c r="D17" s="381"/>
      <c r="E17" s="276"/>
      <c r="F17" s="276" t="s">
        <v>597</v>
      </c>
      <c r="G17" s="24"/>
    </row>
    <row r="18" spans="1:7" ht="117" customHeight="1">
      <c r="A18" s="373"/>
      <c r="B18" s="358">
        <v>2.02</v>
      </c>
      <c r="C18" s="370" t="s">
        <v>1046</v>
      </c>
      <c r="D18" s="379" t="s">
        <v>2151</v>
      </c>
      <c r="E18" s="279" t="s">
        <v>424</v>
      </c>
      <c r="F18" s="279" t="s">
        <v>508</v>
      </c>
      <c r="G18" s="24"/>
    </row>
    <row r="19" spans="1:7" ht="71.099999999999994" customHeight="1">
      <c r="A19" s="373"/>
      <c r="B19" s="359"/>
      <c r="C19" s="371"/>
      <c r="D19" s="380"/>
      <c r="E19" s="280" t="s">
        <v>512</v>
      </c>
      <c r="F19" s="280" t="s">
        <v>425</v>
      </c>
      <c r="G19" s="24"/>
    </row>
    <row r="20" spans="1:7" ht="90.75" customHeight="1">
      <c r="A20" s="373"/>
      <c r="B20" s="359"/>
      <c r="C20" s="371"/>
      <c r="D20" s="380"/>
      <c r="E20" s="280"/>
      <c r="F20" s="280" t="s">
        <v>600</v>
      </c>
      <c r="G20" s="24"/>
    </row>
    <row r="21" spans="1:7" ht="74.25" customHeight="1">
      <c r="A21" s="373"/>
      <c r="B21" s="360"/>
      <c r="C21" s="372"/>
      <c r="D21" s="381"/>
      <c r="E21" s="276"/>
      <c r="F21" s="276" t="s">
        <v>599</v>
      </c>
      <c r="G21" s="24"/>
    </row>
    <row r="22" spans="1:7" ht="90" customHeight="1">
      <c r="A22" s="373"/>
      <c r="B22" s="364">
        <v>2.0299999999999998</v>
      </c>
      <c r="C22" s="364" t="s">
        <v>783</v>
      </c>
      <c r="D22" s="367" t="s">
        <v>2152</v>
      </c>
      <c r="E22" s="370" t="s">
        <v>422</v>
      </c>
      <c r="F22" s="279" t="s">
        <v>445</v>
      </c>
      <c r="G22" s="24"/>
    </row>
    <row r="23" spans="1:7" ht="109.5" customHeight="1">
      <c r="A23" s="373"/>
      <c r="B23" s="365"/>
      <c r="C23" s="365"/>
      <c r="D23" s="368"/>
      <c r="E23" s="371"/>
      <c r="F23" s="280" t="s">
        <v>784</v>
      </c>
      <c r="G23" s="24"/>
    </row>
    <row r="24" spans="1:7" ht="74.25" customHeight="1">
      <c r="A24" s="373"/>
      <c r="B24" s="366"/>
      <c r="C24" s="366"/>
      <c r="D24" s="369"/>
      <c r="E24" s="372"/>
      <c r="F24" s="276" t="s">
        <v>421</v>
      </c>
      <c r="G24" s="24"/>
    </row>
    <row r="25" spans="1:7" ht="72" customHeight="1">
      <c r="A25" s="373"/>
      <c r="B25" s="275" t="s">
        <v>443</v>
      </c>
      <c r="C25" s="276" t="s">
        <v>444</v>
      </c>
      <c r="D25" s="277" t="s">
        <v>2153</v>
      </c>
      <c r="E25" s="276" t="s">
        <v>2148</v>
      </c>
      <c r="F25" s="276" t="s">
        <v>446</v>
      </c>
      <c r="G25" s="24"/>
    </row>
    <row r="26" spans="1:7" ht="98.1" customHeight="1">
      <c r="A26" s="373"/>
      <c r="B26" s="361">
        <v>3</v>
      </c>
      <c r="C26" s="358" t="s">
        <v>66</v>
      </c>
      <c r="D26" s="379" t="s">
        <v>2154</v>
      </c>
      <c r="E26" s="370" t="s">
        <v>0</v>
      </c>
      <c r="F26" s="279" t="s">
        <v>60</v>
      </c>
      <c r="G26" s="24"/>
    </row>
    <row r="27" spans="1:7" ht="90" customHeight="1">
      <c r="A27" s="373"/>
      <c r="B27" s="362"/>
      <c r="C27" s="359"/>
      <c r="D27" s="380"/>
      <c r="E27" s="371"/>
      <c r="F27" s="280" t="s">
        <v>55</v>
      </c>
      <c r="G27" s="24"/>
    </row>
    <row r="28" spans="1:7" ht="19.350000000000001" customHeight="1">
      <c r="A28" s="373"/>
      <c r="B28" s="362"/>
      <c r="C28" s="359"/>
      <c r="D28" s="380"/>
      <c r="E28" s="371"/>
      <c r="F28" s="280" t="s">
        <v>56</v>
      </c>
      <c r="G28" s="24"/>
    </row>
    <row r="29" spans="1:7" ht="74.45" customHeight="1">
      <c r="A29" s="373"/>
      <c r="B29" s="362"/>
      <c r="C29" s="359"/>
      <c r="D29" s="380"/>
      <c r="E29" s="371"/>
      <c r="F29" s="280" t="s">
        <v>57</v>
      </c>
      <c r="G29" s="24"/>
    </row>
    <row r="30" spans="1:7" ht="62.45" customHeight="1">
      <c r="A30" s="373"/>
      <c r="B30" s="362"/>
      <c r="C30" s="359"/>
      <c r="D30" s="380"/>
      <c r="E30" s="371"/>
      <c r="F30" s="280" t="s">
        <v>58</v>
      </c>
      <c r="G30" s="24"/>
    </row>
    <row r="31" spans="1:7" ht="81" customHeight="1">
      <c r="A31" s="373"/>
      <c r="B31" s="362"/>
      <c r="C31" s="359"/>
      <c r="D31" s="380"/>
      <c r="E31" s="371"/>
      <c r="F31" s="280" t="s">
        <v>59</v>
      </c>
      <c r="G31" s="24"/>
    </row>
    <row r="32" spans="1:7" ht="48.75" customHeight="1">
      <c r="A32" s="373"/>
      <c r="B32" s="362"/>
      <c r="C32" s="359"/>
      <c r="D32" s="380"/>
      <c r="E32" s="371"/>
      <c r="F32" s="280" t="s">
        <v>62</v>
      </c>
      <c r="G32" s="24"/>
    </row>
    <row r="33" spans="1:7" ht="98.45" customHeight="1">
      <c r="A33" s="373"/>
      <c r="B33" s="362"/>
      <c r="C33" s="359"/>
      <c r="D33" s="380"/>
      <c r="E33" s="371"/>
      <c r="F33" s="280" t="s">
        <v>61</v>
      </c>
      <c r="G33" s="24"/>
    </row>
    <row r="34" spans="1:7" ht="89.1" customHeight="1">
      <c r="A34" s="373"/>
      <c r="B34" s="362"/>
      <c r="C34" s="359"/>
      <c r="D34" s="380"/>
      <c r="E34" s="371"/>
      <c r="F34" s="280" t="s">
        <v>63</v>
      </c>
      <c r="G34" s="24"/>
    </row>
    <row r="35" spans="1:7" ht="29.1" customHeight="1">
      <c r="A35" s="373"/>
      <c r="B35" s="362"/>
      <c r="C35" s="359"/>
      <c r="D35" s="380"/>
      <c r="E35" s="371"/>
      <c r="F35" s="280" t="s">
        <v>64</v>
      </c>
      <c r="G35" s="24"/>
    </row>
    <row r="36" spans="1:7" ht="147">
      <c r="A36" s="373"/>
      <c r="B36" s="363"/>
      <c r="C36" s="360"/>
      <c r="D36" s="381"/>
      <c r="E36" s="372"/>
      <c r="F36" s="282" t="s">
        <v>65</v>
      </c>
      <c r="G36" s="24"/>
    </row>
    <row r="37" spans="1:7" ht="157.5">
      <c r="A37" s="373"/>
      <c r="B37" s="281">
        <v>3.01</v>
      </c>
      <c r="C37" s="283" t="s">
        <v>66</v>
      </c>
      <c r="D37" s="277" t="s">
        <v>2155</v>
      </c>
      <c r="E37" s="284" t="s">
        <v>1282</v>
      </c>
      <c r="F37" s="285" t="s">
        <v>1384</v>
      </c>
      <c r="G37" s="24"/>
    </row>
    <row r="38" spans="1:7" ht="146.25">
      <c r="A38" s="373"/>
      <c r="B38" s="281">
        <v>3.02</v>
      </c>
      <c r="C38" s="283" t="s">
        <v>1314</v>
      </c>
      <c r="D38" s="277" t="s">
        <v>2156</v>
      </c>
      <c r="E38" s="284" t="s">
        <v>1329</v>
      </c>
      <c r="F38" s="285" t="s">
        <v>1385</v>
      </c>
      <c r="G38" s="24"/>
    </row>
    <row r="39" spans="1:7" ht="112.5">
      <c r="A39" s="373"/>
      <c r="B39" s="286">
        <v>4</v>
      </c>
      <c r="C39" s="287" t="s">
        <v>1480</v>
      </c>
      <c r="D39" s="277" t="s">
        <v>2157</v>
      </c>
      <c r="E39" s="276" t="s">
        <v>2104</v>
      </c>
      <c r="F39" s="276" t="s">
        <v>1481</v>
      </c>
      <c r="G39" s="24"/>
    </row>
    <row r="40" spans="1:7" ht="67.5">
      <c r="A40" s="373"/>
      <c r="B40" s="281">
        <v>4.01</v>
      </c>
      <c r="C40" s="287" t="s">
        <v>1480</v>
      </c>
      <c r="D40" s="277" t="s">
        <v>2159</v>
      </c>
      <c r="E40" s="276" t="s">
        <v>2116</v>
      </c>
      <c r="F40" s="276" t="s">
        <v>2120</v>
      </c>
      <c r="G40" s="24"/>
    </row>
    <row r="41" spans="1:7" ht="67.5">
      <c r="A41" s="373"/>
      <c r="B41" s="281" t="s">
        <v>2146</v>
      </c>
      <c r="C41" s="287" t="s">
        <v>1480</v>
      </c>
      <c r="D41" s="277" t="s">
        <v>2158</v>
      </c>
      <c r="E41" s="276" t="s">
        <v>2149</v>
      </c>
      <c r="F41" s="276" t="s">
        <v>2147</v>
      </c>
      <c r="G41" s="24"/>
    </row>
    <row r="42" spans="1:7" ht="67.5">
      <c r="A42" s="373"/>
      <c r="B42" s="281" t="s">
        <v>2173</v>
      </c>
      <c r="C42" s="287" t="s">
        <v>1480</v>
      </c>
      <c r="D42" s="277" t="s">
        <v>2178</v>
      </c>
      <c r="E42" s="276" t="s">
        <v>2148</v>
      </c>
      <c r="F42" s="276" t="s">
        <v>2174</v>
      </c>
      <c r="G42" s="24"/>
    </row>
    <row r="43" spans="1:7" ht="191.25">
      <c r="A43" s="373"/>
      <c r="B43" s="288">
        <v>4.0999999999999996</v>
      </c>
      <c r="C43" s="287" t="s">
        <v>2177</v>
      </c>
      <c r="D43" s="289">
        <v>42867</v>
      </c>
      <c r="E43" s="290" t="s">
        <v>2180</v>
      </c>
      <c r="F43" s="276" t="s">
        <v>2179</v>
      </c>
      <c r="G43" s="24"/>
    </row>
    <row r="44" spans="1:7" ht="112.5">
      <c r="A44" s="373"/>
      <c r="B44" s="288">
        <v>4.2</v>
      </c>
      <c r="C44" s="287" t="s">
        <v>2177</v>
      </c>
      <c r="D44" s="289">
        <v>42704</v>
      </c>
      <c r="E44" s="290" t="s">
        <v>2369</v>
      </c>
      <c r="F44" s="276" t="s">
        <v>2344</v>
      </c>
      <c r="G44" s="24"/>
    </row>
    <row r="45" spans="1:7" ht="213.75">
      <c r="A45" s="373"/>
      <c r="B45" s="291">
        <v>5</v>
      </c>
      <c r="C45" s="287" t="s">
        <v>2177</v>
      </c>
      <c r="D45" s="289">
        <v>42867</v>
      </c>
      <c r="E45" s="290" t="s">
        <v>12256</v>
      </c>
      <c r="F45" s="276" t="s">
        <v>11978</v>
      </c>
      <c r="G45" s="24"/>
    </row>
    <row r="46" spans="1:7" ht="56.25">
      <c r="A46" s="373"/>
      <c r="B46" s="288">
        <v>5.01</v>
      </c>
      <c r="C46" s="287" t="s">
        <v>2177</v>
      </c>
      <c r="D46" s="289">
        <v>42907</v>
      </c>
      <c r="E46" s="290" t="s">
        <v>14886</v>
      </c>
      <c r="F46" s="276" t="s">
        <v>11978</v>
      </c>
      <c r="G46" s="24"/>
    </row>
    <row r="47" spans="1:7" ht="101.25">
      <c r="A47" s="373"/>
      <c r="B47" s="288">
        <v>5.0999999999999996</v>
      </c>
      <c r="C47" s="287" t="s">
        <v>2177</v>
      </c>
      <c r="D47" s="289">
        <v>43070</v>
      </c>
      <c r="E47" s="290" t="s">
        <v>12456</v>
      </c>
      <c r="F47" s="276" t="s">
        <v>12457</v>
      </c>
      <c r="G47" s="24"/>
    </row>
    <row r="48" spans="1:7" ht="90">
      <c r="A48" s="373"/>
      <c r="B48" s="288">
        <v>5.1100000000000003</v>
      </c>
      <c r="C48" s="287" t="s">
        <v>12684</v>
      </c>
      <c r="D48" s="289">
        <v>43217</v>
      </c>
      <c r="E48" s="290" t="s">
        <v>12786</v>
      </c>
      <c r="F48" s="276" t="s">
        <v>12711</v>
      </c>
      <c r="G48" s="24"/>
    </row>
    <row r="49" spans="1:7" ht="90">
      <c r="A49" s="373"/>
      <c r="B49" s="288">
        <v>5.12</v>
      </c>
      <c r="C49" s="287" t="s">
        <v>12684</v>
      </c>
      <c r="D49" s="289">
        <v>43581</v>
      </c>
      <c r="E49" s="290" t="s">
        <v>12786</v>
      </c>
      <c r="F49" s="276" t="s">
        <v>13315</v>
      </c>
      <c r="G49" s="24"/>
    </row>
    <row r="50" spans="1:7" ht="112.5">
      <c r="A50" s="373"/>
      <c r="B50" s="291">
        <v>6</v>
      </c>
      <c r="C50" s="287" t="s">
        <v>12684</v>
      </c>
      <c r="D50" s="289">
        <v>43964</v>
      </c>
      <c r="E50" s="290" t="s">
        <v>13527</v>
      </c>
      <c r="F50" s="276" t="s">
        <v>13318</v>
      </c>
      <c r="G50" s="24"/>
    </row>
    <row r="51" spans="1:7" ht="56.25">
      <c r="A51" s="373"/>
      <c r="B51" s="288">
        <v>6.01</v>
      </c>
      <c r="C51" s="287" t="s">
        <v>12684</v>
      </c>
      <c r="D51" s="289">
        <v>43970</v>
      </c>
      <c r="E51" s="290" t="s">
        <v>14887</v>
      </c>
      <c r="F51" s="290" t="s">
        <v>13318</v>
      </c>
      <c r="G51" s="24"/>
    </row>
    <row r="52" spans="1:7" ht="56.25">
      <c r="A52" s="373"/>
      <c r="B52" s="288">
        <v>6.1</v>
      </c>
      <c r="C52" s="287" t="s">
        <v>12684</v>
      </c>
      <c r="D52" s="289">
        <v>44314</v>
      </c>
      <c r="E52" s="290" t="s">
        <v>14880</v>
      </c>
      <c r="F52" s="290" t="s">
        <v>14487</v>
      </c>
      <c r="G52" s="24"/>
    </row>
    <row r="53" spans="1:7" ht="56.25">
      <c r="A53" s="373"/>
      <c r="B53" s="288">
        <v>6.2</v>
      </c>
      <c r="C53" s="287" t="s">
        <v>12684</v>
      </c>
      <c r="D53" s="289">
        <v>44678</v>
      </c>
      <c r="E53" s="290" t="s">
        <v>14880</v>
      </c>
      <c r="F53" s="290" t="s">
        <v>14879</v>
      </c>
      <c r="G53" s="24"/>
    </row>
    <row r="54" spans="1:7" ht="56.25">
      <c r="A54" s="373"/>
      <c r="B54" s="288">
        <v>6.21</v>
      </c>
      <c r="C54" s="287" t="s">
        <v>12684</v>
      </c>
      <c r="D54" s="289">
        <v>44687</v>
      </c>
      <c r="E54" s="290" t="s">
        <v>14888</v>
      </c>
      <c r="F54" s="290" t="s">
        <v>14879</v>
      </c>
      <c r="G54" s="24"/>
    </row>
    <row r="55" spans="1:7" ht="56.25">
      <c r="A55" s="373"/>
      <c r="B55" s="288">
        <v>6.22</v>
      </c>
      <c r="C55" s="287" t="s">
        <v>12684</v>
      </c>
      <c r="D55" s="292">
        <v>44692</v>
      </c>
      <c r="E55" s="290" t="s">
        <v>14887</v>
      </c>
      <c r="F55" s="290" t="s">
        <v>14879</v>
      </c>
      <c r="G55" s="24"/>
    </row>
    <row r="56" spans="1:7" ht="90">
      <c r="A56" s="373"/>
      <c r="B56" s="291">
        <v>6.3</v>
      </c>
      <c r="C56" s="287" t="s">
        <v>12684</v>
      </c>
      <c r="D56" s="292">
        <v>45051</v>
      </c>
      <c r="E56" s="290" t="s">
        <v>15144</v>
      </c>
      <c r="F56" s="290" t="s">
        <v>14925</v>
      </c>
      <c r="G56" s="24"/>
    </row>
    <row r="57" spans="1:7" ht="56.25">
      <c r="A57" s="373"/>
      <c r="B57" s="288">
        <v>6.31</v>
      </c>
      <c r="C57" s="287" t="s">
        <v>12684</v>
      </c>
      <c r="D57" s="292">
        <v>45072</v>
      </c>
      <c r="E57" s="290" t="s">
        <v>15146</v>
      </c>
      <c r="F57" s="290" t="s">
        <v>14925</v>
      </c>
      <c r="G57" s="24"/>
    </row>
    <row r="58" spans="1:7" ht="56.25">
      <c r="A58" s="373"/>
      <c r="B58" s="291">
        <v>6.4</v>
      </c>
      <c r="C58" s="287" t="s">
        <v>12684</v>
      </c>
      <c r="D58" s="292">
        <v>45408</v>
      </c>
      <c r="E58" s="290" t="s">
        <v>15148</v>
      </c>
      <c r="F58" s="290" t="s">
        <v>15147</v>
      </c>
      <c r="G58" s="24"/>
    </row>
    <row r="59" spans="1:7" ht="56.25">
      <c r="A59" s="373"/>
      <c r="B59" s="291">
        <v>6.5</v>
      </c>
      <c r="C59" s="287" t="s">
        <v>12684</v>
      </c>
      <c r="D59" s="292">
        <v>45772</v>
      </c>
      <c r="E59" s="290" t="s">
        <v>15217</v>
      </c>
      <c r="F59" s="290" t="s">
        <v>15259</v>
      </c>
      <c r="G59" s="24"/>
    </row>
    <row r="60" spans="1:7" ht="90">
      <c r="A60" s="373"/>
      <c r="B60" s="291">
        <v>6.6</v>
      </c>
      <c r="C60" s="287" t="s">
        <v>12684</v>
      </c>
      <c r="D60" s="292">
        <v>46129</v>
      </c>
      <c r="E60" s="290" t="s">
        <v>15870</v>
      </c>
      <c r="F60" s="293" t="s">
        <v>15352</v>
      </c>
      <c r="G60" s="24"/>
    </row>
    <row r="61" spans="1:7" ht="13.5" thickBot="1">
      <c r="A61" s="374"/>
      <c r="B61" s="375" t="str">
        <f ca="1">OFFSET(L!$C$1,MATCH("General"&amp;"Cpy",L!$A:$A,0)-1,SL,,)</f>
        <v>© 2026 Responsible Minerals Initiative. All rights reserved.</v>
      </c>
      <c r="C61" s="375"/>
      <c r="D61" s="375"/>
      <c r="E61" s="375"/>
      <c r="F61" s="375"/>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82"/>
      <c r="B1" s="383"/>
      <c r="C1" s="383"/>
      <c r="D1" s="384"/>
    </row>
    <row r="2" spans="1:5" ht="71.25" customHeight="1">
      <c r="A2" s="71"/>
      <c r="B2" s="134" t="str">
        <f ca="1">OFFSET(L!$C$1,MATCH("Definitions"&amp;ADDRESS(ROW(),COLUMN(),4),L!$A:$A,0)-1,SL,,)</f>
        <v>ITEM</v>
      </c>
      <c r="C2" s="134" t="str">
        <f ca="1">OFFSET(L!$C$1,MATCH("Definitions"&amp;ADDRESS(ROW(),COLUMN(),4),L!$A:$A,0)-1,SL,,)</f>
        <v>DEFINITION</v>
      </c>
      <c r="D2" s="386"/>
      <c r="E2" s="98"/>
    </row>
    <row r="3" spans="1:5" ht="63.95" customHeight="1">
      <c r="A3" s="71"/>
      <c r="B3" s="60" t="str">
        <f ca="1">OFFSET(L!$C$1,MATCH("Definitions"&amp;ADDRESS(ROW(),COLUMN(),4),L!$A:$A,0)-1,SL,,)</f>
        <v>3TG</v>
      </c>
      <c r="C3" s="60" t="str">
        <f ca="1">OFFSET(L!$C$1,MATCH("Definitions"&amp;ADDRESS(ROW(),COLUMN(),4),L!$A:$A,0)-1,SL,,)</f>
        <v>Tantalum, tin, tungsten, gold</v>
      </c>
      <c r="D3" s="386"/>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6"/>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6"/>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6"/>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6"/>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6"/>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6"/>
      <c r="E9" s="97" t="s">
        <v>1267</v>
      </c>
    </row>
    <row r="10" spans="1:5" ht="45">
      <c r="A10" s="71"/>
      <c r="B10" s="60" t="str">
        <f ca="1">OFFSET(L!$C$1,MATCH("Definitions"&amp;ADDRESS(ROW(),COLUMN(),4),L!$A:$A,0)-1,SL,,)</f>
        <v>DRC</v>
      </c>
      <c r="C10" s="60" t="str">
        <f ca="1">OFFSET(L!$C$1,MATCH("Definitions"&amp;ADDRESS(ROW(),COLUMN(),4),L!$A:$A,0)-1,SL,,)</f>
        <v>Democratic Republic of Congo</v>
      </c>
      <c r="D10" s="386"/>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6"/>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6"/>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6"/>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6"/>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6"/>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6"/>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6"/>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6"/>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86"/>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6"/>
      <c r="E20" s="97"/>
    </row>
    <row r="21" spans="1:5" ht="15">
      <c r="A21" s="71"/>
      <c r="B21" s="60" t="str">
        <f ca="1">OFFSET(L!$C$1,MATCH("Definitions"&amp;ADDRESS(ROW(),COLUMN(),4),L!$A:$A,0)-1,SL,,)</f>
        <v>RBA</v>
      </c>
      <c r="C21" s="60" t="str">
        <f ca="1">OFFSET(L!$C$1,MATCH("Definitions"&amp;ADDRESS(ROW(),COLUMN(),4),L!$A:$A,0)-1,SL,,)</f>
        <v>Responsible Business Alliance (www.responsiblebusiness.org)</v>
      </c>
      <c r="D21" s="386"/>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6"/>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6"/>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6"/>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6"/>
      <c r="E25" s="97" t="s">
        <v>1266</v>
      </c>
    </row>
    <row r="26" spans="1:5" ht="75">
      <c r="A26" s="71"/>
      <c r="B26" s="60" t="str">
        <f ca="1">OFFSET(L!$C$1,MATCH("Definitions"&amp;ADDRESS(ROW(),COLUMN(),4),L!$A:$A,0)-1,SL,,)</f>
        <v>SEC</v>
      </c>
      <c r="C26" s="60" t="str">
        <f ca="1">OFFSET(L!$C$1,MATCH("Definitions"&amp;ADDRESS(ROW(),COLUMN(),4),L!$A:$A,0)-1,SL,,)</f>
        <v>U.S. Securities and Exchange Commission (www.sec.gov)</v>
      </c>
      <c r="D26" s="386"/>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6"/>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6"/>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6"/>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6"/>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6"/>
      <c r="E31" s="97"/>
    </row>
    <row r="32" spans="1:5" ht="15">
      <c r="A32" s="71"/>
      <c r="B32" s="385" t="str">
        <f ca="1">OFFSET(L!$C$1,MATCH("General"&amp;"Cpy",L!$A:$A,0)-1,SL,,)</f>
        <v>© 2026 Responsible Minerals Initiative. All rights reserved.</v>
      </c>
      <c r="C32" s="385"/>
      <c r="D32" s="386"/>
      <c r="E32" s="97"/>
    </row>
    <row r="33" spans="1:4" ht="13.5" thickBot="1">
      <c r="A33" s="72"/>
      <c r="B33" s="146"/>
      <c r="C33" s="146"/>
      <c r="D33" s="387"/>
    </row>
    <row r="34" spans="1:4" ht="13.5"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AA19" sqref="AA19"/>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28"/>
      <c r="B1" s="329"/>
      <c r="C1" s="329"/>
      <c r="D1" s="329"/>
      <c r="E1" s="329"/>
      <c r="F1" s="329"/>
      <c r="G1" s="329"/>
      <c r="H1" s="329"/>
      <c r="I1" s="329"/>
      <c r="J1" s="329"/>
      <c r="K1" s="330"/>
      <c r="L1" s="97"/>
      <c r="P1" s="2"/>
      <c r="Q1" s="2"/>
      <c r="R1" s="2"/>
      <c r="S1" s="2"/>
      <c r="T1" s="2"/>
      <c r="U1" s="2"/>
      <c r="V1" s="2"/>
      <c r="W1" s="2"/>
      <c r="X1" s="2"/>
      <c r="Y1" s="2"/>
      <c r="Z1" s="2"/>
      <c r="AA1" s="2"/>
      <c r="AB1" s="2"/>
      <c r="AC1" s="2"/>
      <c r="AD1" s="2"/>
      <c r="AE1" s="2"/>
      <c r="AF1" s="2"/>
      <c r="AG1" s="2"/>
      <c r="AH1" s="2"/>
    </row>
    <row r="2" spans="1:34" ht="82.35" customHeight="1">
      <c r="A2" s="31"/>
      <c r="B2" s="133"/>
      <c r="C2" s="32"/>
      <c r="D2" s="331" t="str">
        <f ca="1">OFFSET(L!$C$1,MATCH("Declaration"&amp;ADDRESS(ROW(),COLUMN(),4),L!$A:$A,0)-1,SL,,)</f>
        <v>Conflict Minerals Reporting Template (CMRT)</v>
      </c>
      <c r="E2" s="332"/>
      <c r="F2" s="332"/>
      <c r="G2" s="332"/>
      <c r="H2" s="332"/>
      <c r="I2" s="332"/>
      <c r="J2" s="33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41"/>
      <c r="G3" s="341"/>
      <c r="H3" s="341"/>
      <c r="I3" s="145"/>
      <c r="J3" s="135" t="s">
        <v>15370</v>
      </c>
      <c r="K3" s="33"/>
      <c r="L3" s="97"/>
      <c r="P3" s="42">
        <f>MATCH($D$3,LN,0)</f>
        <v>1</v>
      </c>
    </row>
    <row r="4" spans="1:34" ht="15.75">
      <c r="A4" s="31"/>
      <c r="B4" s="337" t="str">
        <f ca="1">OFFSET(L!$C$1,MATCH("Declaration"&amp;ADDRESS(ROW(),COLUMN(),4),L!$A:$A,0)-1,SL,,)</f>
        <v>The purpose of this document is to collect sourcing information on tin, tantalum, tungsten and gold used in products</v>
      </c>
      <c r="C4" s="337"/>
      <c r="D4" s="337"/>
      <c r="E4" s="337"/>
      <c r="F4" s="337"/>
      <c r="G4" s="337"/>
      <c r="H4" s="337"/>
      <c r="I4" s="342" t="str">
        <f ca="1">OFFSET(L!$C$1,MATCH("Declaration"&amp;ADDRESS(ROW(),COLUMN(),4),L!$A:$A,0)-1,SL,,)</f>
        <v>Link to Terms &amp; Conditions</v>
      </c>
      <c r="J4" s="342"/>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37" t="str">
        <f ca="1">OFFSET(L!$C$1,MATCH("Declaration"&amp;ADDRESS(ROW(),COLUMN(),4),L!$A:$A,0)-1,SL,,)</f>
        <v>Mandatory fields are noted with an asterisk (*).  Consult the instructions tab for guidance on how to answer each question.</v>
      </c>
      <c r="C6" s="337"/>
      <c r="D6" s="337"/>
      <c r="E6" s="337"/>
      <c r="F6" s="337"/>
      <c r="G6" s="337"/>
      <c r="H6" s="337"/>
      <c r="I6" s="337"/>
      <c r="J6" s="337"/>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46" t="str">
        <f ca="1">OFFSET(L!$C$1,MATCH("Declaration"&amp;ADDRESS(ROW(),COLUMN(),4),L!$A:$A,0)-1,SL,,)</f>
        <v>Company Information</v>
      </c>
      <c r="C7" s="346"/>
      <c r="D7" s="346"/>
      <c r="E7" s="346"/>
      <c r="F7" s="346"/>
      <c r="G7" s="346"/>
      <c r="H7" s="346"/>
      <c r="I7" s="346"/>
      <c r="J7" s="346"/>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34" t="s">
        <v>15879</v>
      </c>
      <c r="E8" s="335"/>
      <c r="F8" s="335"/>
      <c r="G8" s="335"/>
      <c r="H8" s="335"/>
      <c r="I8" s="335"/>
      <c r="J8" s="336"/>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43" t="s">
        <v>479</v>
      </c>
      <c r="E9" s="344"/>
      <c r="F9" s="344"/>
      <c r="G9" s="345"/>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47" t="str">
        <f ca="1">OFFSET(L!$C$1,MATCH("Declaration"&amp;ADDRESS(ROW(),COLUMN(),4)&amp;LEFT($D$9,1),L!$A:$A,0)-1,SL,,)</f>
        <v>Description of Scope:</v>
      </c>
      <c r="C10" s="119"/>
      <c r="D10" s="338"/>
      <c r="E10" s="339"/>
      <c r="F10" s="339"/>
      <c r="G10" s="339"/>
      <c r="H10" s="339"/>
      <c r="I10" s="339"/>
      <c r="J10" s="340"/>
      <c r="K10" s="33"/>
      <c r="L10" s="112"/>
      <c r="Q10" s="2"/>
      <c r="R10" s="2"/>
      <c r="S10" s="2"/>
      <c r="T10" s="2"/>
      <c r="U10" s="2"/>
      <c r="V10" s="2"/>
      <c r="W10" s="2"/>
      <c r="X10" s="2"/>
      <c r="Y10" s="2"/>
      <c r="Z10" s="2"/>
      <c r="AA10" s="2"/>
      <c r="AB10" s="2"/>
      <c r="AC10" s="2"/>
      <c r="AD10" s="2"/>
      <c r="AE10" s="2"/>
      <c r="AF10" s="2"/>
      <c r="AG10" s="2"/>
      <c r="AH10" s="2"/>
    </row>
    <row r="11" spans="1:34" ht="15.75">
      <c r="A11" s="35"/>
      <c r="B11" s="348"/>
      <c r="C11" s="119"/>
      <c r="D11" s="313" t="str">
        <f ca="1">IF(D9=Q9,OFFSET(L!$C$1,MATCH("Declaration"&amp;ADDRESS(ROW(),COLUMN(),4),L!$A:$A,0)-1,SL,,),"")</f>
        <v/>
      </c>
      <c r="E11" s="314"/>
      <c r="F11" s="314"/>
      <c r="G11" s="314"/>
      <c r="H11" s="314"/>
      <c r="I11" s="314"/>
      <c r="J11" s="315"/>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21" t="s">
        <v>15880</v>
      </c>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21" t="s">
        <v>15881</v>
      </c>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21" t="s">
        <v>15882</v>
      </c>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21" t="s">
        <v>15883</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49" t="s">
        <v>15884</v>
      </c>
      <c r="E16" s="350"/>
      <c r="F16" s="350"/>
      <c r="G16" s="350"/>
      <c r="H16" s="350"/>
      <c r="I16" s="350"/>
      <c r="J16" s="351"/>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21" t="s">
        <v>15885</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294" t="s">
        <v>15883</v>
      </c>
      <c r="E18" s="295"/>
      <c r="F18" s="295"/>
      <c r="G18" s="295"/>
      <c r="H18" s="295"/>
      <c r="I18" s="295"/>
      <c r="J18" s="296"/>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21"/>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49" t="s">
        <v>15884</v>
      </c>
      <c r="E20" s="350"/>
      <c r="F20" s="350"/>
      <c r="G20" s="350"/>
      <c r="H20" s="350"/>
      <c r="I20" s="350"/>
      <c r="J20" s="351"/>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52" t="s">
        <v>15885</v>
      </c>
      <c r="E21" s="353"/>
      <c r="F21" s="353"/>
      <c r="G21" s="353"/>
      <c r="H21" s="353"/>
      <c r="I21" s="353"/>
      <c r="J21" s="354"/>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55">
        <v>46204</v>
      </c>
      <c r="E22" s="356"/>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24"/>
      <c r="E23" s="32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57" t="str">
        <f ca="1">OFFSET(L!$C$1,MATCH("Declaration"&amp;ADDRESS(ROW(),COLUMN(),4),L!$A:$A,0)-1,SL,,)</f>
        <v>Answer the following questions 1 - 8 based on the declaration scope indicated above</v>
      </c>
      <c r="C24" s="357"/>
      <c r="D24" s="357"/>
      <c r="E24" s="357"/>
      <c r="F24" s="357"/>
      <c r="G24" s="357"/>
      <c r="H24" s="357"/>
      <c r="I24" s="357"/>
      <c r="J24" s="357"/>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4" t="str">
        <f ca="1">OFFSET(L!$C$1,MATCH("Declaration"&amp;ADDRESS(ROW(),COLUMN(),4),L!$A:$A,0)-1,SL,,)</f>
        <v>Answer</v>
      </c>
      <c r="E25" s="304"/>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Tantalum  (*)</v>
      </c>
      <c r="C26" s="32"/>
      <c r="D26" s="297" t="s">
        <v>473</v>
      </c>
      <c r="E26" s="298"/>
      <c r="F26" s="11"/>
      <c r="G26" s="299"/>
      <c r="H26" s="300"/>
      <c r="I26" s="300"/>
      <c r="J26" s="301"/>
      <c r="K26" s="33"/>
      <c r="L26" s="113"/>
      <c r="P26" s="42" t="str">
        <f>IF(D$26="No","","(*)")</f>
        <v>(*)</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297" t="s">
        <v>473</v>
      </c>
      <c r="E27" s="298"/>
      <c r="F27" s="11"/>
      <c r="G27" s="299"/>
      <c r="H27" s="300"/>
      <c r="I27" s="300"/>
      <c r="J27" s="301"/>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297" t="s">
        <v>473</v>
      </c>
      <c r="E28" s="298"/>
      <c r="F28" s="11"/>
      <c r="G28" s="299"/>
      <c r="H28" s="300"/>
      <c r="I28" s="300"/>
      <c r="J28" s="301"/>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Tungsten  (*)</v>
      </c>
      <c r="C29" s="32"/>
      <c r="D29" s="297" t="s">
        <v>473</v>
      </c>
      <c r="E29" s="298"/>
      <c r="F29" s="11"/>
      <c r="G29" s="299"/>
      <c r="H29" s="300"/>
      <c r="I29" s="300"/>
      <c r="J29" s="301"/>
      <c r="K29" s="33"/>
      <c r="L29" s="113"/>
      <c r="P29" s="42" t="str">
        <f>IF(D$29="No","","(*)")</f>
        <v>(*)</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06" t="str">
        <f ca="1">D25</f>
        <v>Answer</v>
      </c>
      <c r="E31" s="306"/>
      <c r="F31" s="17"/>
      <c r="G31" s="41" t="str">
        <f ca="1">G25</f>
        <v>Comments</v>
      </c>
      <c r="H31" s="41"/>
      <c r="I31" s="41"/>
      <c r="J31" s="80"/>
      <c r="K31" s="33"/>
      <c r="L31" s="108" t="s">
        <v>1197</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Tantalum  (*)</v>
      </c>
      <c r="C32" s="9"/>
      <c r="D32" s="316" t="s">
        <v>473</v>
      </c>
      <c r="E32" s="317"/>
      <c r="F32" s="44"/>
      <c r="G32" s="299"/>
      <c r="H32" s="300"/>
      <c r="I32" s="300"/>
      <c r="J32" s="301"/>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297" t="s">
        <v>473</v>
      </c>
      <c r="E33" s="298"/>
      <c r="F33" s="44"/>
      <c r="G33" s="299"/>
      <c r="H33" s="300"/>
      <c r="I33" s="300"/>
      <c r="J33" s="301"/>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297" t="s">
        <v>473</v>
      </c>
      <c r="E34" s="298"/>
      <c r="F34" s="44"/>
      <c r="G34" s="299"/>
      <c r="H34" s="300"/>
      <c r="I34" s="300"/>
      <c r="J34" s="301"/>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Tungsten  (*)</v>
      </c>
      <c r="C35" s="9"/>
      <c r="D35" s="297" t="s">
        <v>473</v>
      </c>
      <c r="E35" s="298"/>
      <c r="F35" s="44"/>
      <c r="G35" s="299"/>
      <c r="H35" s="300"/>
      <c r="I35" s="300"/>
      <c r="J35" s="301"/>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06" t="str">
        <f ca="1">D25</f>
        <v>Answer</v>
      </c>
      <c r="E37" s="306"/>
      <c r="F37" s="17"/>
      <c r="G37" s="41" t="str">
        <f ca="1">G25</f>
        <v>Comments</v>
      </c>
      <c r="H37" s="320"/>
      <c r="I37" s="320"/>
      <c r="J37" s="320"/>
      <c r="K37" s="33"/>
      <c r="L37" s="108" t="s">
        <v>1197</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Tantalum  (*)</v>
      </c>
      <c r="C38" s="9"/>
      <c r="D38" s="297" t="s">
        <v>473</v>
      </c>
      <c r="E38" s="298"/>
      <c r="F38" s="44"/>
      <c r="G38" s="299" t="s">
        <v>1376</v>
      </c>
      <c r="H38" s="300"/>
      <c r="I38" s="300"/>
      <c r="J38" s="301"/>
      <c r="K38" s="33"/>
      <c r="L38" s="113"/>
      <c r="P38" s="42" t="str">
        <f>IF((OR(D$26="No",D$32="No")),"","(*)")</f>
        <v>(*)</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297" t="s">
        <v>473</v>
      </c>
      <c r="E39" s="298"/>
      <c r="F39" s="44"/>
      <c r="G39" s="299" t="s">
        <v>753</v>
      </c>
      <c r="H39" s="300"/>
      <c r="I39" s="300"/>
      <c r="J39" s="301"/>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297" t="s">
        <v>475</v>
      </c>
      <c r="E40" s="298"/>
      <c r="F40" s="44"/>
      <c r="G40" s="299"/>
      <c r="H40" s="300"/>
      <c r="I40" s="300"/>
      <c r="J40" s="301"/>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Tungsten  (*)</v>
      </c>
      <c r="C41" s="9"/>
      <c r="D41" s="297" t="s">
        <v>473</v>
      </c>
      <c r="E41" s="298"/>
      <c r="F41" s="44"/>
      <c r="G41" s="299" t="s">
        <v>136</v>
      </c>
      <c r="H41" s="300"/>
      <c r="I41" s="300"/>
      <c r="J41" s="301"/>
      <c r="K41" s="33"/>
      <c r="L41" s="113"/>
      <c r="P41" s="42" t="str">
        <f>IF((OR(D$29="No",D$35="No")),"","(*)")</f>
        <v>(*)</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06" t="str">
        <f ca="1">D25</f>
        <v>Answer</v>
      </c>
      <c r="E43" s="306"/>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Tantalum  (*)</v>
      </c>
      <c r="C44" s="9"/>
      <c r="D44" s="297" t="s">
        <v>473</v>
      </c>
      <c r="E44" s="298"/>
      <c r="F44" s="44"/>
      <c r="G44" s="299" t="s">
        <v>15886</v>
      </c>
      <c r="H44" s="300"/>
      <c r="I44" s="300"/>
      <c r="J44" s="301"/>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297" t="s">
        <v>473</v>
      </c>
      <c r="E45" s="298"/>
      <c r="F45" s="44"/>
      <c r="G45" s="299" t="s">
        <v>15887</v>
      </c>
      <c r="H45" s="300"/>
      <c r="I45" s="300"/>
      <c r="J45" s="301"/>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297" t="s">
        <v>473</v>
      </c>
      <c r="E46" s="298"/>
      <c r="F46" s="44"/>
      <c r="G46" s="299" t="s">
        <v>650</v>
      </c>
      <c r="H46" s="300"/>
      <c r="I46" s="300"/>
      <c r="J46" s="301"/>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Tungsten  (*)</v>
      </c>
      <c r="C47" s="9"/>
      <c r="D47" s="297" t="s">
        <v>473</v>
      </c>
      <c r="E47" s="298"/>
      <c r="F47" s="44"/>
      <c r="G47" s="299" t="s">
        <v>15888</v>
      </c>
      <c r="H47" s="300"/>
      <c r="I47" s="300"/>
      <c r="J47" s="301"/>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06" t="str">
        <f ca="1">D25</f>
        <v>Answer</v>
      </c>
      <c r="E49" s="306"/>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Tantalum  (*)</v>
      </c>
      <c r="C50" s="9"/>
      <c r="D50" s="297" t="s">
        <v>474</v>
      </c>
      <c r="E50" s="298"/>
      <c r="F50" s="44"/>
      <c r="G50" s="299"/>
      <c r="H50" s="300"/>
      <c r="I50" s="300"/>
      <c r="J50" s="301"/>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297" t="s">
        <v>474</v>
      </c>
      <c r="E51" s="298"/>
      <c r="F51" s="44"/>
      <c r="G51" s="299"/>
      <c r="H51" s="300"/>
      <c r="I51" s="300"/>
      <c r="J51" s="301"/>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297" t="s">
        <v>474</v>
      </c>
      <c r="E52" s="298"/>
      <c r="F52" s="44"/>
      <c r="G52" s="299"/>
      <c r="H52" s="300"/>
      <c r="I52" s="300"/>
      <c r="J52" s="301"/>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Tungsten  (*)</v>
      </c>
      <c r="C53" s="9"/>
      <c r="D53" s="297" t="s">
        <v>474</v>
      </c>
      <c r="E53" s="298"/>
      <c r="F53" s="44"/>
      <c r="G53" s="299"/>
      <c r="H53" s="300"/>
      <c r="I53" s="300"/>
      <c r="J53" s="301"/>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06" t="str">
        <f ca="1">D25</f>
        <v>Answer</v>
      </c>
      <c r="E55" s="306"/>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Tantalum  (*)</v>
      </c>
      <c r="C56" s="32"/>
      <c r="D56" s="318" t="s">
        <v>15889</v>
      </c>
      <c r="E56" s="319"/>
      <c r="F56" s="44"/>
      <c r="G56" s="299"/>
      <c r="H56" s="300"/>
      <c r="I56" s="300"/>
      <c r="J56" s="301"/>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18" t="s">
        <v>15889</v>
      </c>
      <c r="E57" s="319"/>
      <c r="F57" s="44"/>
      <c r="G57" s="299"/>
      <c r="H57" s="300"/>
      <c r="I57" s="300"/>
      <c r="J57" s="301"/>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18" t="s">
        <v>15889</v>
      </c>
      <c r="E58" s="319"/>
      <c r="F58" s="44"/>
      <c r="G58" s="299"/>
      <c r="H58" s="300"/>
      <c r="I58" s="300"/>
      <c r="J58" s="301"/>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Tungsten  (*)</v>
      </c>
      <c r="C59" s="32"/>
      <c r="D59" s="318" t="s">
        <v>15889</v>
      </c>
      <c r="E59" s="319"/>
      <c r="F59" s="44"/>
      <c r="G59" s="299"/>
      <c r="H59" s="300"/>
      <c r="I59" s="300"/>
      <c r="J59" s="301"/>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06" t="str">
        <f ca="1">D25</f>
        <v>Answer</v>
      </c>
      <c r="E61" s="306"/>
      <c r="F61" s="17"/>
      <c r="G61" s="41" t="str">
        <f ca="1">G25</f>
        <v>Comments</v>
      </c>
      <c r="H61" s="303"/>
      <c r="I61" s="303"/>
      <c r="J61" s="303"/>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Tantalum  (*)</v>
      </c>
      <c r="C62" s="9"/>
      <c r="D62" s="316" t="s">
        <v>473</v>
      </c>
      <c r="E62" s="317"/>
      <c r="F62" s="44"/>
      <c r="G62" s="299"/>
      <c r="H62" s="300"/>
      <c r="I62" s="300"/>
      <c r="J62" s="301"/>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297" t="s">
        <v>473</v>
      </c>
      <c r="E63" s="298"/>
      <c r="F63" s="44"/>
      <c r="G63" s="299"/>
      <c r="H63" s="300"/>
      <c r="I63" s="300"/>
      <c r="J63" s="301"/>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297" t="s">
        <v>473</v>
      </c>
      <c r="E64" s="298"/>
      <c r="F64" s="44"/>
      <c r="G64" s="299"/>
      <c r="H64" s="300"/>
      <c r="I64" s="300"/>
      <c r="J64" s="301"/>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Tungsten  (*)</v>
      </c>
      <c r="C65" s="9"/>
      <c r="D65" s="297" t="s">
        <v>473</v>
      </c>
      <c r="E65" s="298"/>
      <c r="F65" s="44"/>
      <c r="G65" s="299"/>
      <c r="H65" s="300"/>
      <c r="I65" s="300"/>
      <c r="J65" s="301"/>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06" t="str">
        <f ca="1">D25</f>
        <v>Answer</v>
      </c>
      <c r="E67" s="306"/>
      <c r="F67" s="17"/>
      <c r="G67" s="41" t="str">
        <f ca="1">G25</f>
        <v>Comments</v>
      </c>
      <c r="H67" s="303" t="str">
        <f>IF(Q75="(*)","Click here to enter smelter names","")</f>
        <v/>
      </c>
      <c r="I67" s="303"/>
      <c r="J67" s="303"/>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Tantalum  (*)</v>
      </c>
      <c r="C68" s="32"/>
      <c r="D68" s="297" t="s">
        <v>473</v>
      </c>
      <c r="E68" s="298"/>
      <c r="F68" s="45"/>
      <c r="G68" s="299"/>
      <c r="H68" s="300"/>
      <c r="I68" s="300"/>
      <c r="J68" s="301"/>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297" t="s">
        <v>473</v>
      </c>
      <c r="E69" s="298"/>
      <c r="F69" s="45"/>
      <c r="G69" s="299"/>
      <c r="H69" s="300"/>
      <c r="I69" s="300"/>
      <c r="J69" s="301"/>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297" t="s">
        <v>473</v>
      </c>
      <c r="E70" s="298"/>
      <c r="F70" s="45"/>
      <c r="G70" s="299"/>
      <c r="H70" s="300"/>
      <c r="I70" s="300"/>
      <c r="J70" s="301"/>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Tungsten  (*)</v>
      </c>
      <c r="C71" s="46"/>
      <c r="D71" s="297" t="s">
        <v>473</v>
      </c>
      <c r="E71" s="298"/>
      <c r="F71" s="47"/>
      <c r="G71" s="299"/>
      <c r="H71" s="300"/>
      <c r="I71" s="300"/>
      <c r="J71" s="301"/>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02" t="str">
        <f ca="1">OFFSET(L!$C$1,MATCH("Declaration"&amp;ADDRESS(ROW(),COLUMN(),4),L!$A:$A,0)-1,SL,,)</f>
        <v>Answer the Following Questions at a Company Level</v>
      </c>
      <c r="C73" s="302"/>
      <c r="D73" s="302"/>
      <c r="E73" s="302"/>
      <c r="F73" s="302"/>
      <c r="G73" s="302"/>
      <c r="H73" s="302"/>
      <c r="I73" s="302"/>
      <c r="J73" s="302"/>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04" t="str">
        <f ca="1">D25</f>
        <v>Answer</v>
      </c>
      <c r="E74" s="304"/>
      <c r="F74" s="50"/>
      <c r="G74" s="304" t="str">
        <f ca="1">G25</f>
        <v>Comments</v>
      </c>
      <c r="H74" s="304" t="e">
        <f>HLOOKUP(SL,LT,$O74,0)</f>
        <v>#NAME?</v>
      </c>
      <c r="I74" s="30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297" t="s">
        <v>473</v>
      </c>
      <c r="E75" s="298"/>
      <c r="F75" s="54"/>
      <c r="G75" s="299"/>
      <c r="H75" s="300"/>
      <c r="I75" s="300"/>
      <c r="J75" s="301"/>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05"/>
      <c r="H76" s="305"/>
      <c r="I76" s="305"/>
      <c r="J76" s="305"/>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7" t="s">
        <v>473</v>
      </c>
      <c r="E77" s="298"/>
      <c r="F77" s="54"/>
      <c r="G77" s="325" t="s">
        <v>15890</v>
      </c>
      <c r="H77" s="326"/>
      <c r="I77" s="326"/>
      <c r="J77" s="327"/>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7" t="s">
        <v>473</v>
      </c>
      <c r="E79" s="298"/>
      <c r="F79" s="54"/>
      <c r="G79" s="299"/>
      <c r="H79" s="300"/>
      <c r="I79" s="300"/>
      <c r="J79" s="301"/>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7" t="s">
        <v>473</v>
      </c>
      <c r="E81" s="298"/>
      <c r="F81" s="54"/>
      <c r="G81" s="299"/>
      <c r="H81" s="300"/>
      <c r="I81" s="300"/>
      <c r="J81" s="301"/>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7" t="s">
        <v>14427</v>
      </c>
      <c r="E83" s="298"/>
      <c r="F83" s="54"/>
      <c r="G83" s="299"/>
      <c r="H83" s="300"/>
      <c r="I83" s="300"/>
      <c r="J83" s="301"/>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10" t="s">
        <v>473</v>
      </c>
      <c r="E85" s="311"/>
      <c r="F85" s="54"/>
      <c r="G85" s="299"/>
      <c r="H85" s="300"/>
      <c r="I85" s="300"/>
      <c r="J85" s="301"/>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05"/>
      <c r="H86" s="305"/>
      <c r="I86" s="305"/>
      <c r="J86" s="305"/>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297" t="s">
        <v>473</v>
      </c>
      <c r="E87" s="298"/>
      <c r="F87" s="54"/>
      <c r="G87" s="299"/>
      <c r="H87" s="300"/>
      <c r="I87" s="300"/>
      <c r="J87" s="301"/>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12"/>
      <c r="H88" s="312"/>
      <c r="I88" s="312"/>
      <c r="J88" s="312"/>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297" t="s">
        <v>474</v>
      </c>
      <c r="E89" s="298"/>
      <c r="F89" s="54"/>
      <c r="G89" s="299"/>
      <c r="H89" s="300"/>
      <c r="I89" s="300"/>
      <c r="J89" s="301"/>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09" t="str">
        <f>IF(OR($D$8="",$I$3=""),"","Click here to check required fields completion")</f>
        <v/>
      </c>
      <c r="C90" s="309"/>
      <c r="D90" s="309"/>
      <c r="E90" s="309"/>
      <c r="F90" s="309"/>
      <c r="G90" s="309"/>
      <c r="H90" s="309"/>
      <c r="I90" s="309"/>
      <c r="J90" s="309"/>
      <c r="K90" s="33"/>
      <c r="L90" s="97"/>
      <c r="P90" s="2"/>
      <c r="Q90" s="2"/>
      <c r="R90" s="2"/>
      <c r="S90" s="2"/>
      <c r="T90" s="2"/>
      <c r="U90" s="2"/>
      <c r="V90" s="2"/>
      <c r="W90" s="2"/>
      <c r="X90" s="2"/>
      <c r="Y90" s="2"/>
      <c r="Z90" s="2"/>
      <c r="AA90" s="2"/>
      <c r="AB90" s="2"/>
      <c r="AC90" s="2"/>
      <c r="AD90" s="2"/>
      <c r="AE90" s="2"/>
      <c r="AF90" s="2"/>
      <c r="AG90" s="2"/>
      <c r="AH90" s="2"/>
    </row>
    <row r="91" spans="1:34" ht="15.75" thickBot="1">
      <c r="A91" s="307" t="str">
        <f ca="1">OFFSET(L!$C$1,MATCH("General"&amp;"Cpy",L!$A:$A,0)-1,SL,,)</f>
        <v>© 2026 Responsible Minerals Initiative. All rights reserved.</v>
      </c>
      <c r="B91" s="308"/>
      <c r="C91" s="308"/>
      <c r="D91" s="308"/>
      <c r="E91" s="308"/>
      <c r="F91" s="308"/>
      <c r="G91" s="308"/>
      <c r="H91" s="308"/>
      <c r="I91" s="308"/>
      <c r="J91" s="308"/>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Yes</v>
      </c>
      <c r="E96" s="264" t="str">
        <f>IF(AND(OR($D$26="Yes",$D$26=""),OR($D$32="Yes",$D$32="")),"100%","")</f>
        <v>100%</v>
      </c>
      <c r="G96" s="264" t="str">
        <f>IF(OR($D$26="Yes",$D$26=""),"Yes","")</f>
        <v>Yes</v>
      </c>
    </row>
    <row r="97" spans="2:7" ht="13.5" hidden="1" customHeight="1">
      <c r="B97" s="53" t="s">
        <v>474</v>
      </c>
      <c r="D97" s="264" t="str">
        <f>IF(AND(OR($D$26="Yes",$D$26=""),OR($D$32="Yes",$D$32="")),"No","")</f>
        <v>No</v>
      </c>
      <c r="E97" s="264" t="str">
        <f>IF(AND(OR($D$26="Yes",$D$26=""),OR($D$32="Yes",$D$32="")),"Greater than 90%","")</f>
        <v>Greater than 90%</v>
      </c>
      <c r="G97" s="264" t="str">
        <f>IF(OR($D$26="Yes",$D$26=""),"No","")</f>
        <v>No</v>
      </c>
    </row>
    <row r="98" spans="2:7" ht="15.75" hidden="1">
      <c r="B98" s="53" t="s">
        <v>475</v>
      </c>
      <c r="D98" s="264" t="str">
        <f>IF(AND(OR($D$26="Yes",$D$26=""),OR($D$32="Yes",$D$32="")),"Unknown","")</f>
        <v>Unknown</v>
      </c>
      <c r="E98" s="264" t="str">
        <f>IF(AND(OR($D$26="Yes",$D$26=""),OR($D$32="Yes",$D$32="")),"Greater than 75%","")</f>
        <v>Greater than 75%</v>
      </c>
      <c r="G98" s="264" t="str">
        <f>IF(OR($D$27="Yes",$D$27=""),"Yes","")</f>
        <v>Yes</v>
      </c>
    </row>
    <row r="99" spans="2:7" ht="15.75" hidden="1">
      <c r="B99" s="172">
        <v>1</v>
      </c>
      <c r="D99" s="264" t="str">
        <f>IF(AND(OR($D$27="Yes",$D$27=""),OR($D$33="Yes",$D$33="")),"Yes","")</f>
        <v>Yes</v>
      </c>
      <c r="E99" s="264" t="str">
        <f>IF(AND(OR($D$26="Yes",$D$26=""),OR($D$32="Yes",$D$32="")),"Greater than 50%","")</f>
        <v>Greater than 50%</v>
      </c>
      <c r="G99" s="264" t="str">
        <f>IF(OR($D$27="Yes",$D$27=""),"No","")</f>
        <v>No</v>
      </c>
    </row>
    <row r="100" spans="2:7" ht="15.75" hidden="1">
      <c r="B100" s="219" t="s">
        <v>2370</v>
      </c>
      <c r="D100" s="264" t="str">
        <f>IF(AND(OR($D$27="Yes",$D$27=""),OR($D$33="Yes",$D$33="")),"No","")</f>
        <v>No</v>
      </c>
      <c r="E100" s="264" t="str">
        <f>IF(AND(OR($D$26="Yes",$D$26=""),OR($D$32="Yes",$D$32="")),"50% or less","")</f>
        <v>50% or less</v>
      </c>
      <c r="G100" s="264" t="str">
        <f>IF(OR($D$28="Yes",$D$28=""),"Yes","")</f>
        <v>Yes</v>
      </c>
    </row>
    <row r="101" spans="2:7" ht="15.75" hidden="1">
      <c r="B101" s="219" t="s">
        <v>2371</v>
      </c>
      <c r="D101" s="264" t="str">
        <f>IF(AND(OR($D$27="Yes",$D$27=""),OR($D$33="Yes",$D$33="")),"Unknown","")</f>
        <v>Unknown</v>
      </c>
      <c r="E101" s="264" t="str">
        <f>IF(AND(OR($D$26="Yes",$D$26=""),OR($D$32="Yes",$D$32="")),"None","")</f>
        <v>None</v>
      </c>
      <c r="G101" s="264" t="str">
        <f>IF(OR($D$28="Yes",$D$28=""),"No","")</f>
        <v>No</v>
      </c>
    </row>
    <row r="102" spans="2:7" ht="15.75" hidden="1">
      <c r="B102" s="219" t="s">
        <v>2372</v>
      </c>
      <c r="D102" s="264" t="str">
        <f>IF(AND(OR($D$28="Yes",$D$28=""),OR($D$34="Yes",$D$34="")),"Yes","")</f>
        <v>Yes</v>
      </c>
      <c r="E102" s="264" t="str">
        <f>IF(AND(OR($D$27="Yes",$D$27=""),OR($D$33="Yes",$D$33="")),"100%","")</f>
        <v>100%</v>
      </c>
      <c r="G102" s="264" t="str">
        <f>IF(OR($D$29="Yes",$D$29=""),"Yes","")</f>
        <v>Yes</v>
      </c>
    </row>
    <row r="103" spans="2:7" ht="15.75" hidden="1">
      <c r="B103" s="219" t="s">
        <v>2373</v>
      </c>
      <c r="D103" s="264" t="str">
        <f>IF(AND(OR($D$28="Yes",$D$28=""),OR($D$34="Yes",$D$34="")),"No","")</f>
        <v>No</v>
      </c>
      <c r="E103" s="264" t="str">
        <f>IF(AND(OR($D$27="Yes",$D$27=""),OR($D$33="Yes",$D$33="")),"Greater than 90%","")</f>
        <v>Greater than 90%</v>
      </c>
      <c r="G103" s="264" t="str">
        <f>IF(OR($D$29="Yes",$D$29=""),"No","")</f>
        <v>No</v>
      </c>
    </row>
    <row r="104" spans="2:7" ht="15.75" hidden="1">
      <c r="B104" s="219" t="s">
        <v>476</v>
      </c>
      <c r="D104" s="264" t="str">
        <f>IF(AND(OR($D$28="Yes",$D$28=""),OR($D$34="Yes",$D$34="")),"Unknown","")</f>
        <v>Unknown</v>
      </c>
      <c r="E104" s="264" t="str">
        <f>IF(AND(OR($D$27="Yes",$D$27=""),OR($D$33="Yes",$D$33="")),"Greater than 75%","")</f>
        <v>Greater than 75%</v>
      </c>
    </row>
    <row r="105" spans="2:7" ht="15.75" hidden="1">
      <c r="B105" s="219" t="s">
        <v>14427</v>
      </c>
      <c r="D105" s="264" t="str">
        <f>IF(AND(OR($D$29="Yes",$D$29=""),OR($D$35="Yes",$D$35="")),"Yes","")</f>
        <v>Yes</v>
      </c>
      <c r="E105" s="264" t="str">
        <f>IF(AND(OR($D$27="Yes",$D$27=""),OR($D$33="Yes",$D$33="")),"Greater than 50%","")</f>
        <v>Greater than 50%</v>
      </c>
    </row>
    <row r="106" spans="2:7" ht="15.75" hidden="1">
      <c r="B106" s="219" t="s">
        <v>11949</v>
      </c>
      <c r="D106" s="264" t="str">
        <f>IF(AND(OR($D$29="Yes",$D$29=""),OR($D$35="Yes",$D$35="")),"No","")</f>
        <v>No</v>
      </c>
      <c r="E106" s="264" t="str">
        <f>IF(AND(OR($D$27="Yes",$D$27=""),OR($D$33="Yes",$D$33="")),"50% or less","")</f>
        <v>50% or less</v>
      </c>
    </row>
    <row r="107" spans="2:7" ht="15.75" hidden="1">
      <c r="B107" s="219" t="s">
        <v>474</v>
      </c>
      <c r="D107" s="264" t="str">
        <f>IF(AND(OR($D$29="Yes",$D$29=""),OR($D$35="Yes",$D$35="")),"Unknown","")</f>
        <v>Unknown</v>
      </c>
      <c r="E107" s="264" t="str">
        <f>IF(AND(OR($D$27="Yes",$D$27=""),OR($D$33="Yes",$D$33="")),"None","")</f>
        <v>None</v>
      </c>
    </row>
    <row r="108" spans="2:7" ht="15.75" hidden="1">
      <c r="B108" s="219" t="s">
        <v>13454</v>
      </c>
      <c r="E108" s="264" t="str">
        <f>IF(AND(OR($D$28="Yes",$D$28=""),OR($D$34="Yes",$D$34="")),"100%","")</f>
        <v>100%</v>
      </c>
    </row>
    <row r="109" spans="2:7" ht="15.75" hidden="1">
      <c r="B109" s="219" t="s">
        <v>13456</v>
      </c>
      <c r="E109" s="264" t="str">
        <f>IF(AND(OR($D$28="Yes",$D$28=""),OR($D$34="Yes",$D$34="")),"Greater than 90%","")</f>
        <v>Greater than 90%</v>
      </c>
    </row>
    <row r="110" spans="2:7" ht="15.75" hidden="1">
      <c r="B110" s="219" t="s">
        <v>13457</v>
      </c>
      <c r="E110" s="264" t="str">
        <f>IF(AND(OR($D$28="Yes",$D$28=""),OR($D$34="Yes",$D$34="")),"Greater than 75%","")</f>
        <v>Greater than 75%</v>
      </c>
    </row>
    <row r="111" spans="2:7" ht="15.7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AB7D06C4-3CB5-4F60-8C42-404AFBA0FAF6}"/>
    <hyperlink ref="D20" r:id="rId4" xr:uid="{54C1E5D7-E6D8-446D-BAB6-071BF27163F2}"/>
    <hyperlink ref="G77" r:id="rId5" xr:uid="{5CF7CC5D-89D4-4F3D-9D8D-1F155589645B}"/>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2" sqref="A2"/>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t="s">
        <v>1338</v>
      </c>
      <c r="B5" s="166" t="s">
        <v>1087</v>
      </c>
      <c r="C5" s="170" t="s">
        <v>1337</v>
      </c>
      <c r="D5" s="213"/>
      <c r="E5" s="166" t="s">
        <v>2323</v>
      </c>
      <c r="F5" s="166" t="s">
        <v>1338</v>
      </c>
      <c r="G5" s="166" t="s">
        <v>12764</v>
      </c>
      <c r="H5" s="167">
        <v>0</v>
      </c>
      <c r="I5" s="168" t="s">
        <v>1494</v>
      </c>
      <c r="J5" s="168" t="s">
        <v>1495</v>
      </c>
      <c r="K5" s="207"/>
      <c r="L5" s="207"/>
      <c r="M5" s="207"/>
      <c r="N5" s="207" t="s">
        <v>15891</v>
      </c>
      <c r="O5" s="207"/>
      <c r="P5" s="169" t="s">
        <v>473</v>
      </c>
      <c r="Q5" s="208"/>
      <c r="R5" s="166" t="str">
        <f ca="1">IF(ISERROR($V5),"",OFFSET('Smelter Look-up'!$C$4,$V5-4,0)&amp;"")</f>
        <v>Advanced Chemical Company</v>
      </c>
      <c r="S5" s="165" t="str">
        <f ca="1">IF(B5="","",IF(ISERROR(MATCH($E5,CL,0)),"Unknown",INDIRECT("'C'!$A$"&amp;MATCH($E5,CL,0)+1)))</f>
        <v>US</v>
      </c>
      <c r="T5" s="165" t="str">
        <f ca="1">IF(B5="","",IF(ISERROR(MATCH($J5,SorP!$B$1:$B$6261,0)),"",INDIRECT("'SorP'!$A$"&amp;MATCH($S5&amp;$J5,SorP!C:C,0))))</f>
        <v>US-RI</v>
      </c>
      <c r="U5" s="185"/>
      <c r="V5" s="209">
        <f>IF(C5="",NA(),IF(OR(C5="Smelter not listed",C5="Smelter not yet identified"),MATCH($B5&amp;$D5,'Smelter Look-up'!$J:$J,0),MATCH($B5&amp;$C5,'Smelter Look-up'!$J:$J,0)))</f>
        <v>8</v>
      </c>
      <c r="X5" s="210">
        <f t="shared" ref="X5" si="0">IF(AND(C5="Smelter not listed",OR(LEN(D5)=0,LEN(E5)=0)),1,0)</f>
        <v>0</v>
      </c>
      <c r="AB5" s="211" t="str">
        <f t="shared" ref="AB5" si="1">B5&amp;C5</f>
        <v>GoldAdvanced Chemical Company</v>
      </c>
    </row>
    <row r="6" spans="1:34" s="210" customFormat="1" ht="20.100000000000001" customHeight="1">
      <c r="A6" s="245" t="s">
        <v>630</v>
      </c>
      <c r="B6" s="166" t="s">
        <v>1087</v>
      </c>
      <c r="C6" s="170" t="s">
        <v>2050</v>
      </c>
      <c r="D6" s="213"/>
      <c r="E6" s="166" t="s">
        <v>1066</v>
      </c>
      <c r="F6" s="166" t="s">
        <v>630</v>
      </c>
      <c r="G6" s="166" t="s">
        <v>12764</v>
      </c>
      <c r="H6" s="167">
        <v>0</v>
      </c>
      <c r="I6" s="168" t="s">
        <v>1496</v>
      </c>
      <c r="J6" s="168" t="s">
        <v>1497</v>
      </c>
      <c r="K6" s="207"/>
      <c r="L6" s="207"/>
      <c r="M6" s="207"/>
      <c r="N6" s="207"/>
      <c r="O6" s="207"/>
      <c r="P6" s="169" t="s">
        <v>475</v>
      </c>
      <c r="Q6" s="208"/>
      <c r="R6" s="166" t="str">
        <f ca="1">IF(ISERROR($V6),"",OFFSET('Smelter Look-up'!$C$4,$V6-4,0)&amp;"")</f>
        <v>Aida Chemical Industries Co., Ltd.</v>
      </c>
      <c r="S6" s="165" t="str">
        <f t="shared" ref="S6:S37" ca="1" si="2">IF(B6="","",IF(ISERROR(MATCH($E6,CL,0)),"Unknown",INDIRECT("'C'!$A$"&amp;MATCH($E6,CL,0)+1)))</f>
        <v>JP</v>
      </c>
      <c r="T6" s="165" t="str">
        <f ca="1">IF(B6="","",IF(ISERROR(MATCH($J6,SorP!$B$1:$B$6261,0)),"",INDIRECT("'SorP'!$A$"&amp;MATCH($S6&amp;$J6,SorP!C:C,0))))</f>
        <v>JP-13</v>
      </c>
      <c r="U6" s="185"/>
      <c r="V6" s="209">
        <f>IF(C6="",NA(),IF(OR(C6="Smelter not listed",C6="Smelter not yet identified"),MATCH($B6&amp;$D6,'Smelter Look-up'!$J:$J,0),MATCH($B6&amp;$C6,'Smelter Look-up'!$J:$J,0)))</f>
        <v>15</v>
      </c>
      <c r="X6" s="210">
        <f t="shared" ref="X6:X37" si="3">IF(AND(C6="Smelter not listed",OR(LEN(D6)=0,LEN(E6)=0)),1,0)</f>
        <v>0</v>
      </c>
      <c r="AB6" s="211" t="str">
        <f t="shared" ref="AB6:AB37" si="4">B6&amp;C6</f>
        <v>GoldAida Chemical Industries Co., Ltd.</v>
      </c>
    </row>
    <row r="7" spans="1:34" s="210" customFormat="1" ht="20.100000000000001" customHeight="1">
      <c r="A7" s="245" t="s">
        <v>631</v>
      </c>
      <c r="B7" s="166" t="s">
        <v>1087</v>
      </c>
      <c r="C7" s="170" t="s">
        <v>14841</v>
      </c>
      <c r="D7" s="213"/>
      <c r="E7" s="166" t="s">
        <v>1059</v>
      </c>
      <c r="F7" s="166" t="s">
        <v>631</v>
      </c>
      <c r="G7" s="166" t="s">
        <v>12764</v>
      </c>
      <c r="H7" s="167">
        <v>0</v>
      </c>
      <c r="I7" s="168" t="s">
        <v>1498</v>
      </c>
      <c r="J7" s="168" t="s">
        <v>1499</v>
      </c>
      <c r="K7" s="207"/>
      <c r="L7" s="207"/>
      <c r="M7" s="207"/>
      <c r="N7" s="207" t="s">
        <v>15891</v>
      </c>
      <c r="O7" s="207" t="s">
        <v>15891</v>
      </c>
      <c r="P7" s="169" t="s">
        <v>473</v>
      </c>
      <c r="Q7" s="208"/>
      <c r="R7" s="166" t="str">
        <f ca="1">IF(ISERROR($V7),"",OFFSET('Smelter Look-up'!$C$4,$V7-4,0)&amp;"")</f>
        <v>Agosi AG</v>
      </c>
      <c r="S7" s="165" t="str">
        <f t="shared" ca="1" si="2"/>
        <v>DE</v>
      </c>
      <c r="T7" s="165" t="str">
        <f ca="1">IF(B7="","",IF(ISERROR(MATCH($J7,SorP!$B$1:$B$6261,0)),"",INDIRECT("'SorP'!$A$"&amp;MATCH($S7&amp;$J7,SorP!C:C,0))))</f>
        <v>DE-BW</v>
      </c>
      <c r="U7" s="185"/>
      <c r="V7" s="209">
        <f>IF(C7="",NA(),IF(OR(C7="Smelter not listed",C7="Smelter not yet identified"),MATCH($B7&amp;$D7,'Smelter Look-up'!$J:$J,0),MATCH($B7&amp;$C7,'Smelter Look-up'!$J:$J,0)))</f>
        <v>10</v>
      </c>
      <c r="X7" s="210">
        <f t="shared" si="3"/>
        <v>0</v>
      </c>
      <c r="AB7" s="211" t="str">
        <f t="shared" si="4"/>
        <v>GoldAgosi AG</v>
      </c>
    </row>
    <row r="8" spans="1:34" s="210" customFormat="1" ht="20.100000000000001" customHeight="1">
      <c r="A8" s="245" t="s">
        <v>632</v>
      </c>
      <c r="B8" s="166" t="s">
        <v>1087</v>
      </c>
      <c r="C8" s="170" t="s">
        <v>605</v>
      </c>
      <c r="D8" s="213"/>
      <c r="E8" s="166" t="s">
        <v>851</v>
      </c>
      <c r="F8" s="166" t="s">
        <v>632</v>
      </c>
      <c r="G8" s="166" t="s">
        <v>12764</v>
      </c>
      <c r="H8" s="167">
        <v>0</v>
      </c>
      <c r="I8" s="168" t="s">
        <v>1500</v>
      </c>
      <c r="J8" s="168" t="s">
        <v>11573</v>
      </c>
      <c r="K8" s="207"/>
      <c r="L8" s="207"/>
      <c r="M8" s="207"/>
      <c r="N8" s="207"/>
      <c r="O8" s="207"/>
      <c r="P8" s="169" t="s">
        <v>474</v>
      </c>
      <c r="Q8" s="208"/>
      <c r="R8" s="166" t="str">
        <f ca="1">IF(ISERROR($V8),"",OFFSET('Smelter Look-up'!$C$4,$V8-4,0)&amp;"")</f>
        <v>Almalyk Mining and Metallurgical Complex (AMMC)</v>
      </c>
      <c r="S8" s="165" t="str">
        <f t="shared" ca="1" si="2"/>
        <v>UZ</v>
      </c>
      <c r="T8" s="165" t="str">
        <f ca="1">IF(B8="","",IF(ISERROR(MATCH($J8,SorP!$B$1:$B$6261,0)),"",INDIRECT("'SorP'!$A$"&amp;MATCH($S8&amp;$J8,SorP!C:C,0))))</f>
        <v>UZ-TO</v>
      </c>
      <c r="U8" s="185"/>
      <c r="V8" s="209">
        <f>IF(C8="",NA(),IF(OR(C8="Smelter not listed",C8="Smelter not yet identified"),MATCH($B8&amp;$D8,'Smelter Look-up'!$J:$J,0),MATCH($B8&amp;$C8,'Smelter Look-up'!$J:$J,0)))</f>
        <v>22</v>
      </c>
      <c r="X8" s="210">
        <f t="shared" si="3"/>
        <v>0</v>
      </c>
      <c r="AB8" s="211" t="str">
        <f t="shared" si="4"/>
        <v>GoldAlmalyk Mining and Metallurgical Complex (AMMC)</v>
      </c>
    </row>
    <row r="9" spans="1:34" s="210" customFormat="1" ht="20.100000000000001" customHeight="1">
      <c r="A9" s="245" t="s">
        <v>633</v>
      </c>
      <c r="B9" s="166" t="s">
        <v>1087</v>
      </c>
      <c r="C9" s="170" t="s">
        <v>11979</v>
      </c>
      <c r="D9" s="213"/>
      <c r="E9" s="166" t="s">
        <v>1054</v>
      </c>
      <c r="F9" s="166" t="s">
        <v>633</v>
      </c>
      <c r="G9" s="166" t="s">
        <v>12764</v>
      </c>
      <c r="H9" s="167">
        <v>0</v>
      </c>
      <c r="I9" s="168" t="s">
        <v>1502</v>
      </c>
      <c r="J9" s="168" t="s">
        <v>1503</v>
      </c>
      <c r="K9" s="207"/>
      <c r="L9" s="207"/>
      <c r="M9" s="207"/>
      <c r="N9" s="207" t="s">
        <v>15892</v>
      </c>
      <c r="O9" s="207" t="s">
        <v>15893</v>
      </c>
      <c r="P9" s="169" t="s">
        <v>474</v>
      </c>
      <c r="Q9" s="208"/>
      <c r="R9" s="166" t="str">
        <f ca="1">IF(ISERROR($V9),"",OFFSET('Smelter Look-up'!$C$4,$V9-4,0)&amp;"")</f>
        <v>AngloGold Ashanti Corrego do Sitio Mineracao</v>
      </c>
      <c r="S9" s="165" t="str">
        <f t="shared" ca="1" si="2"/>
        <v>BR</v>
      </c>
      <c r="T9" s="165" t="str">
        <f ca="1">IF(B9="","",IF(ISERROR(MATCH($J9,SorP!$B$1:$B$6261,0)),"",INDIRECT("'SorP'!$A$"&amp;MATCH($S9&amp;$J9,SorP!C:C,0))))</f>
        <v>BR-MG</v>
      </c>
      <c r="U9" s="185"/>
      <c r="V9" s="209">
        <f>IF(C9="",NA(),IF(OR(C9="Smelter not listed",C9="Smelter not yet identified"),MATCH($B9&amp;$D9,'Smelter Look-up'!$J:$J,0),MATCH($B9&amp;$C9,'Smelter Look-up'!$J:$J,0)))</f>
        <v>25</v>
      </c>
      <c r="X9" s="210">
        <f t="shared" si="3"/>
        <v>0</v>
      </c>
      <c r="AB9" s="211" t="str">
        <f t="shared" si="4"/>
        <v>GoldAngloGold Ashanti Corrego do Sitio Mineracao</v>
      </c>
    </row>
    <row r="10" spans="1:34" s="210" customFormat="1" ht="20.100000000000001" customHeight="1">
      <c r="A10" s="245" t="s">
        <v>634</v>
      </c>
      <c r="B10" s="166" t="s">
        <v>1087</v>
      </c>
      <c r="C10" s="170" t="s">
        <v>2181</v>
      </c>
      <c r="D10" s="213"/>
      <c r="E10" s="166" t="s">
        <v>1056</v>
      </c>
      <c r="F10" s="166" t="s">
        <v>634</v>
      </c>
      <c r="G10" s="166" t="s">
        <v>12764</v>
      </c>
      <c r="H10" s="167">
        <v>0</v>
      </c>
      <c r="I10" s="168" t="s">
        <v>1504</v>
      </c>
      <c r="J10" s="168" t="s">
        <v>1505</v>
      </c>
      <c r="K10" s="207"/>
      <c r="L10" s="207"/>
      <c r="M10" s="207"/>
      <c r="N10" s="207"/>
      <c r="O10" s="207"/>
      <c r="P10" s="169" t="s">
        <v>474</v>
      </c>
      <c r="Q10" s="208"/>
      <c r="R10" s="166" t="str">
        <f ca="1">IF(ISERROR($V10),"",OFFSET('Smelter Look-up'!$C$4,$V10-4,0)&amp;"")</f>
        <v>Argor-Heraeus S.A.</v>
      </c>
      <c r="S10" s="165" t="str">
        <f t="shared" ca="1" si="2"/>
        <v>CH</v>
      </c>
      <c r="T10" s="165" t="str">
        <f ca="1">IF(B10="","",IF(ISERROR(MATCH($J10,SorP!$B$1:$B$6261,0)),"",INDIRECT("'SorP'!$A$"&amp;MATCH($S10&amp;$J10,SorP!C:C,0))))</f>
        <v>CH-TI</v>
      </c>
      <c r="U10" s="185"/>
      <c r="V10" s="209">
        <f>IF(C10="",NA(),IF(OR(C10="Smelter not listed",C10="Smelter not yet identified"),MATCH($B10&amp;$D10,'Smelter Look-up'!$J:$J,0),MATCH($B10&amp;$C10,'Smelter Look-up'!$J:$J,0)))</f>
        <v>31</v>
      </c>
      <c r="X10" s="210">
        <f t="shared" si="3"/>
        <v>0</v>
      </c>
      <c r="AB10" s="211" t="str">
        <f t="shared" si="4"/>
        <v>GoldArgor-Heraeus S.A.</v>
      </c>
    </row>
    <row r="11" spans="1:34" s="210" customFormat="1" ht="20.100000000000001" customHeight="1">
      <c r="A11" s="245" t="s">
        <v>635</v>
      </c>
      <c r="B11" s="166" t="s">
        <v>1087</v>
      </c>
      <c r="C11" s="170" t="s">
        <v>15218</v>
      </c>
      <c r="D11" s="213"/>
      <c r="E11" s="166" t="s">
        <v>1066</v>
      </c>
      <c r="F11" s="166" t="s">
        <v>635</v>
      </c>
      <c r="G11" s="166" t="s">
        <v>12764</v>
      </c>
      <c r="H11" s="167">
        <v>0</v>
      </c>
      <c r="I11" s="168" t="s">
        <v>15228</v>
      </c>
      <c r="J11" s="168" t="s">
        <v>1673</v>
      </c>
      <c r="K11" s="207"/>
      <c r="L11" s="207"/>
      <c r="M11" s="207"/>
      <c r="N11" s="207"/>
      <c r="O11" s="207"/>
      <c r="P11" s="169" t="s">
        <v>474</v>
      </c>
      <c r="Q11" s="208"/>
      <c r="R11" s="166" t="str">
        <f ca="1">IF(ISERROR($V11),"",OFFSET('Smelter Look-up'!$C$4,$V11-4,0)&amp;"")</f>
        <v>ASAHI METALFINE, Inc.</v>
      </c>
      <c r="S11" s="165" t="str">
        <f t="shared" ca="1" si="2"/>
        <v>JP</v>
      </c>
      <c r="T11" s="165" t="str">
        <f ca="1">IF(B11="","",IF(ISERROR(MATCH($J11,SorP!$B$1:$B$6261,0)),"",INDIRECT("'SorP'!$A$"&amp;MATCH($S11&amp;$J11,SorP!C:C,0))))</f>
        <v>JP-08</v>
      </c>
      <c r="U11" s="185"/>
      <c r="V11" s="209">
        <f>IF(C11="",NA(),IF(OR(C11="Smelter not listed",C11="Smelter not yet identified"),MATCH($B11&amp;$D11,'Smelter Look-up'!$J:$J,0),MATCH($B11&amp;$C11,'Smelter Look-up'!$J:$J,0)))</f>
        <v>32</v>
      </c>
      <c r="X11" s="210">
        <f t="shared" si="3"/>
        <v>0</v>
      </c>
      <c r="AB11" s="211" t="str">
        <f t="shared" si="4"/>
        <v>GoldASAHI METALFINE, Inc.</v>
      </c>
    </row>
    <row r="12" spans="1:34" s="210" customFormat="1" ht="20.100000000000001" customHeight="1">
      <c r="A12" s="245" t="s">
        <v>636</v>
      </c>
      <c r="B12" s="166" t="s">
        <v>1087</v>
      </c>
      <c r="C12" s="170" t="s">
        <v>2051</v>
      </c>
      <c r="D12" s="213"/>
      <c r="E12" s="166" t="s">
        <v>1066</v>
      </c>
      <c r="F12" s="166" t="s">
        <v>636</v>
      </c>
      <c r="G12" s="166" t="s">
        <v>12764</v>
      </c>
      <c r="H12" s="167">
        <v>0</v>
      </c>
      <c r="I12" s="168" t="s">
        <v>1508</v>
      </c>
      <c r="J12" s="168" t="s">
        <v>1509</v>
      </c>
      <c r="K12" s="207"/>
      <c r="L12" s="207"/>
      <c r="M12" s="207"/>
      <c r="N12" s="207" t="s">
        <v>15891</v>
      </c>
      <c r="O12" s="207" t="s">
        <v>15891</v>
      </c>
      <c r="P12" s="169" t="s">
        <v>473</v>
      </c>
      <c r="Q12" s="208"/>
      <c r="R12" s="166" t="str">
        <f ca="1">IF(ISERROR($V12),"",OFFSET('Smelter Look-up'!$C$4,$V12-4,0)&amp;"")</f>
        <v>Asaka Riken Co., Ltd.</v>
      </c>
      <c r="S12" s="165" t="str">
        <f t="shared" ca="1" si="2"/>
        <v>JP</v>
      </c>
      <c r="T12" s="165" t="str">
        <f ca="1">IF(B12="","",IF(ISERROR(MATCH($J12,SorP!$B$1:$B$6261,0)),"",INDIRECT("'SorP'!$A$"&amp;MATCH($S12&amp;$J12,SorP!C:C,0))))</f>
        <v>JP-07</v>
      </c>
      <c r="U12" s="185"/>
      <c r="V12" s="209">
        <f>IF(C12="",NA(),IF(OR(C12="Smelter not listed",C12="Smelter not yet identified"),MATCH($B12&amp;$D12,'Smelter Look-up'!$J:$J,0),MATCH($B12&amp;$C12,'Smelter Look-up'!$J:$J,0)))</f>
        <v>36</v>
      </c>
      <c r="X12" s="210">
        <f t="shared" si="3"/>
        <v>0</v>
      </c>
      <c r="AB12" s="211" t="str">
        <f t="shared" si="4"/>
        <v>GoldAsaka Riken Co., Ltd.</v>
      </c>
    </row>
    <row r="13" spans="1:34" s="210" customFormat="1" ht="20.100000000000001" customHeight="1">
      <c r="A13" s="245" t="s">
        <v>637</v>
      </c>
      <c r="B13" s="166" t="s">
        <v>1087</v>
      </c>
      <c r="C13" s="170" t="s">
        <v>1179</v>
      </c>
      <c r="D13" s="213"/>
      <c r="E13" s="166" t="s">
        <v>1059</v>
      </c>
      <c r="F13" s="166" t="s">
        <v>637</v>
      </c>
      <c r="G13" s="166" t="s">
        <v>12764</v>
      </c>
      <c r="H13" s="167">
        <v>0</v>
      </c>
      <c r="I13" s="168" t="s">
        <v>1510</v>
      </c>
      <c r="J13" s="168" t="s">
        <v>1510</v>
      </c>
      <c r="K13" s="207"/>
      <c r="L13" s="207"/>
      <c r="M13" s="207"/>
      <c r="N13" s="207"/>
      <c r="O13" s="207"/>
      <c r="P13" s="169" t="s">
        <v>474</v>
      </c>
      <c r="Q13" s="208"/>
      <c r="R13" s="166" t="str">
        <f ca="1">IF(ISERROR($V13),"",OFFSET('Smelter Look-up'!$C$4,$V13-4,0)&amp;"")</f>
        <v>Aurubis AG, Hamburg</v>
      </c>
      <c r="S13" s="165" t="str">
        <f t="shared" ca="1" si="2"/>
        <v>DE</v>
      </c>
      <c r="T13" s="165" t="str">
        <f ca="1">IF(B13="","",IF(ISERROR(MATCH($J13,SorP!$B$1:$B$6261,0)),"",INDIRECT("'SorP'!$A$"&amp;MATCH($S13&amp;$J13,SorP!C:C,0))))</f>
        <v>DE-HH</v>
      </c>
      <c r="U13" s="185"/>
      <c r="V13" s="209">
        <f>IF(C13="",NA(),IF(OR(C13="Smelter not listed",C13="Smelter not yet identified"),MATCH($B13&amp;$D13,'Smelter Look-up'!$J:$J,0),MATCH($B13&amp;$C13,'Smelter Look-up'!$J:$J,0)))</f>
        <v>43</v>
      </c>
      <c r="X13" s="210">
        <f t="shared" si="3"/>
        <v>0</v>
      </c>
      <c r="AB13" s="211" t="str">
        <f t="shared" si="4"/>
        <v>GoldAurubis AG</v>
      </c>
    </row>
    <row r="14" spans="1:34" s="210" customFormat="1" ht="20.100000000000001" customHeight="1">
      <c r="A14" s="245" t="s">
        <v>638</v>
      </c>
      <c r="B14" s="166" t="s">
        <v>1087</v>
      </c>
      <c r="C14" s="170" t="s">
        <v>864</v>
      </c>
      <c r="D14" s="213"/>
      <c r="E14" s="166" t="s">
        <v>841</v>
      </c>
      <c r="F14" s="166" t="s">
        <v>638</v>
      </c>
      <c r="G14" s="166" t="s">
        <v>12764</v>
      </c>
      <c r="H14" s="167">
        <v>0</v>
      </c>
      <c r="I14" s="168" t="s">
        <v>2107</v>
      </c>
      <c r="J14" s="168" t="s">
        <v>9026</v>
      </c>
      <c r="K14" s="207"/>
      <c r="L14" s="207"/>
      <c r="M14" s="207"/>
      <c r="N14" s="207"/>
      <c r="O14" s="207"/>
      <c r="P14" s="169" t="s">
        <v>474</v>
      </c>
      <c r="Q14" s="208"/>
      <c r="R14" s="166" t="str">
        <f ca="1">IF(ISERROR($V14),"",OFFSET('Smelter Look-up'!$C$4,$V14-4,0)&amp;"")</f>
        <v>Bangko Sentral ng Pilipinas (Central Bank of the Philippines)</v>
      </c>
      <c r="S14" s="165" t="str">
        <f t="shared" ca="1" si="2"/>
        <v>PH</v>
      </c>
      <c r="T14" s="165" t="str">
        <f ca="1">IF(B14="","",IF(ISERROR(MATCH($J14,SorP!$B$1:$B$6261,0)),"",INDIRECT("'SorP'!$A$"&amp;MATCH($S14&amp;$J14,SorP!C:C,0))))</f>
        <v>PH-RIZ</v>
      </c>
      <c r="U14" s="185"/>
      <c r="V14" s="209">
        <f>IF(C14="",NA(),IF(OR(C14="Smelter not listed",C14="Smelter not yet identified"),MATCH($B14&amp;$D14,'Smelter Look-up'!$J:$J,0),MATCH($B14&amp;$C14,'Smelter Look-up'!$J:$J,0)))</f>
        <v>49</v>
      </c>
      <c r="X14" s="210">
        <f t="shared" si="3"/>
        <v>0</v>
      </c>
      <c r="AB14" s="211" t="str">
        <f t="shared" si="4"/>
        <v>GoldBangko Sentral ng Pilipinas (Central Bank of the Philippines)</v>
      </c>
    </row>
    <row r="15" spans="1:34" s="210" customFormat="1" ht="20.100000000000001" customHeight="1">
      <c r="A15" s="245" t="s">
        <v>639</v>
      </c>
      <c r="B15" s="166" t="s">
        <v>1087</v>
      </c>
      <c r="C15" s="170" t="s">
        <v>15151</v>
      </c>
      <c r="D15" s="213"/>
      <c r="E15" s="166" t="s">
        <v>847</v>
      </c>
      <c r="F15" s="166" t="s">
        <v>639</v>
      </c>
      <c r="G15" s="166" t="s">
        <v>12764</v>
      </c>
      <c r="H15" s="167">
        <v>0</v>
      </c>
      <c r="I15" s="168" t="s">
        <v>15894</v>
      </c>
      <c r="J15" s="168" t="s">
        <v>9850</v>
      </c>
      <c r="K15" s="207"/>
      <c r="L15" s="207"/>
      <c r="M15" s="207"/>
      <c r="N15" s="207"/>
      <c r="O15" s="207"/>
      <c r="P15" s="169" t="s">
        <v>474</v>
      </c>
      <c r="Q15" s="208"/>
      <c r="R15" s="166" t="str">
        <f ca="1">IF(ISERROR($V15),"",OFFSET('Smelter Look-up'!$C$4,$V15-4,0)&amp;"")</f>
        <v>Boliden Mineral AB (Ronnskar)</v>
      </c>
      <c r="S15" s="165" t="str">
        <f t="shared" ca="1" si="2"/>
        <v>SE</v>
      </c>
      <c r="T15" s="165" t="str">
        <f ca="1">IF(B15="","",IF(ISERROR(MATCH($J15,SorP!$B$1:$B$6261,0)),"",INDIRECT("'SorP'!$A$"&amp;MATCH($S15&amp;$J15,SorP!C:C,0))))</f>
        <v>SE-AC</v>
      </c>
      <c r="U15" s="185"/>
      <c r="V15" s="209">
        <f>IF(C15="",NA(),IF(OR(C15="Smelter not listed",C15="Smelter not yet identified"),MATCH($B15&amp;$D15,'Smelter Look-up'!$J:$J,0),MATCH($B15&amp;$C15,'Smelter Look-up'!$J:$J,0)))</f>
        <v>52</v>
      </c>
      <c r="X15" s="210">
        <f t="shared" si="3"/>
        <v>0</v>
      </c>
      <c r="AB15" s="211" t="str">
        <f t="shared" si="4"/>
        <v>GoldBoliden Ronnskar</v>
      </c>
    </row>
    <row r="16" spans="1:34" s="210" customFormat="1" ht="20.100000000000001" customHeight="1">
      <c r="A16" s="245" t="s">
        <v>641</v>
      </c>
      <c r="B16" s="166" t="s">
        <v>1087</v>
      </c>
      <c r="C16" s="170" t="s">
        <v>640</v>
      </c>
      <c r="D16" s="213"/>
      <c r="E16" s="166" t="s">
        <v>1059</v>
      </c>
      <c r="F16" s="166" t="s">
        <v>641</v>
      </c>
      <c r="G16" s="166" t="s">
        <v>12764</v>
      </c>
      <c r="H16" s="167">
        <v>0</v>
      </c>
      <c r="I16" s="168" t="s">
        <v>1498</v>
      </c>
      <c r="J16" s="168" t="s">
        <v>1499</v>
      </c>
      <c r="K16" s="207"/>
      <c r="L16" s="207"/>
      <c r="M16" s="207"/>
      <c r="N16" s="207" t="s">
        <v>15891</v>
      </c>
      <c r="O16" s="207" t="s">
        <v>15891</v>
      </c>
      <c r="P16" s="169" t="s">
        <v>473</v>
      </c>
      <c r="Q16" s="208"/>
      <c r="R16" s="166" t="str">
        <f ca="1">IF(ISERROR($V16),"",OFFSET('Smelter Look-up'!$C$4,$V16-4,0)&amp;"")</f>
        <v>C. Hafner GmbH + Co. KG</v>
      </c>
      <c r="S16" s="165" t="str">
        <f t="shared" ca="1" si="2"/>
        <v>DE</v>
      </c>
      <c r="T16" s="165" t="str">
        <f ca="1">IF(B16="","",IF(ISERROR(MATCH($J16,SorP!$B$1:$B$6261,0)),"",INDIRECT("'SorP'!$A$"&amp;MATCH($S16&amp;$J16,SorP!C:C,0))))</f>
        <v>DE-BW</v>
      </c>
      <c r="U16" s="185"/>
      <c r="V16" s="209">
        <f>IF(C16="",NA(),IF(OR(C16="Smelter not listed",C16="Smelter not yet identified"),MATCH($B16&amp;$D16,'Smelter Look-up'!$J:$J,0),MATCH($B16&amp;$C16,'Smelter Look-up'!$J:$J,0)))</f>
        <v>54</v>
      </c>
      <c r="X16" s="210">
        <f t="shared" si="3"/>
        <v>0</v>
      </c>
      <c r="AB16" s="211" t="str">
        <f t="shared" si="4"/>
        <v>GoldC. Hafner GmbH + Co. KG</v>
      </c>
    </row>
    <row r="17" spans="1:28" s="210" customFormat="1" ht="20.100000000000001" customHeight="1">
      <c r="A17" s="245" t="s">
        <v>643</v>
      </c>
      <c r="B17" s="166" t="s">
        <v>1087</v>
      </c>
      <c r="C17" s="170" t="s">
        <v>2144</v>
      </c>
      <c r="D17" s="213"/>
      <c r="E17" s="166" t="s">
        <v>1055</v>
      </c>
      <c r="F17" s="166" t="s">
        <v>643</v>
      </c>
      <c r="G17" s="166" t="s">
        <v>12764</v>
      </c>
      <c r="H17" s="167">
        <v>0</v>
      </c>
      <c r="I17" s="168" t="s">
        <v>1514</v>
      </c>
      <c r="J17" s="168" t="s">
        <v>1515</v>
      </c>
      <c r="K17" s="207"/>
      <c r="L17" s="207"/>
      <c r="M17" s="207"/>
      <c r="N17" s="207" t="s">
        <v>15891</v>
      </c>
      <c r="O17" s="207" t="s">
        <v>15891</v>
      </c>
      <c r="P17" s="169" t="s">
        <v>475</v>
      </c>
      <c r="Q17" s="208"/>
      <c r="R17" s="166" t="str">
        <f ca="1">IF(ISERROR($V17),"",OFFSET('Smelter Look-up'!$C$4,$V17-4,0)&amp;"")</f>
        <v>Glencore Canada Corporation - CCR Refinery</v>
      </c>
      <c r="S17" s="165" t="str">
        <f t="shared" ca="1" si="2"/>
        <v>CA</v>
      </c>
      <c r="T17" s="165" t="str">
        <f ca="1">IF(B17="","",IF(ISERROR(MATCH($J17,SorP!$B$1:$B$6261,0)),"",INDIRECT("'SorP'!$A$"&amp;MATCH($S17&amp;$J17,SorP!C:C,0))))</f>
        <v>CA-QC</v>
      </c>
      <c r="U17" s="185"/>
      <c r="V17" s="209">
        <f>IF(C17="",NA(),IF(OR(C17="Smelter not listed",C17="Smelter not yet identified"),MATCH($B17&amp;$D17,'Smelter Look-up'!$J:$J,0),MATCH($B17&amp;$C17,'Smelter Look-up'!$J:$J,0)))</f>
        <v>57</v>
      </c>
      <c r="X17" s="210">
        <f t="shared" si="3"/>
        <v>0</v>
      </c>
      <c r="AB17" s="211" t="str">
        <f t="shared" si="4"/>
        <v>GoldCCR Refinery - Glencore Canada Corporation</v>
      </c>
    </row>
    <row r="18" spans="1:28" s="210" customFormat="1" ht="20.100000000000001" customHeight="1">
      <c r="A18" s="165" t="s">
        <v>645</v>
      </c>
      <c r="B18" s="166" t="s">
        <v>1087</v>
      </c>
      <c r="C18" s="170" t="s">
        <v>50</v>
      </c>
      <c r="D18" s="213"/>
      <c r="E18" s="166" t="s">
        <v>1065</v>
      </c>
      <c r="F18" s="166" t="s">
        <v>645</v>
      </c>
      <c r="G18" s="166" t="s">
        <v>12764</v>
      </c>
      <c r="H18" s="167">
        <v>0</v>
      </c>
      <c r="I18" s="168" t="s">
        <v>1522</v>
      </c>
      <c r="J18" s="168" t="s">
        <v>6296</v>
      </c>
      <c r="K18" s="207"/>
      <c r="L18" s="207"/>
      <c r="M18" s="207"/>
      <c r="N18" s="207" t="s">
        <v>15891</v>
      </c>
      <c r="O18" s="207" t="s">
        <v>15891</v>
      </c>
      <c r="P18" s="169" t="s">
        <v>473</v>
      </c>
      <c r="Q18" s="208"/>
      <c r="R18" s="166" t="str">
        <f ca="1">IF(ISERROR($V18),"",OFFSET('Smelter Look-up'!$C$4,$V18-4,0)&amp;"")</f>
        <v>Chimet S.p.A.</v>
      </c>
      <c r="S18" s="165" t="str">
        <f t="shared" ca="1" si="2"/>
        <v>IT</v>
      </c>
      <c r="T18" s="165" t="str">
        <f ca="1">IF(B18="","",IF(ISERROR(MATCH($J18,SorP!$B$1:$B$6261,0)),"",INDIRECT("'SorP'!$A$"&amp;MATCH($S18&amp;$J18,SorP!C:C,0))))</f>
        <v>IT-52</v>
      </c>
      <c r="U18" s="185"/>
      <c r="V18" s="209">
        <f>IF(C18="",NA(),IF(OR(C18="Smelter not listed",C18="Smelter not yet identified"),MATCH($B18&amp;$D18,'Smelter Look-up'!$J:$J,0),MATCH($B18&amp;$C18,'Smelter Look-up'!$J:$J,0)))</f>
        <v>67</v>
      </c>
      <c r="X18" s="210">
        <f t="shared" si="3"/>
        <v>0</v>
      </c>
      <c r="AB18" s="211" t="str">
        <f t="shared" si="4"/>
        <v>GoldChimet S.p.A.</v>
      </c>
    </row>
    <row r="19" spans="1:28" s="210" customFormat="1" ht="38.25">
      <c r="A19" s="165" t="s">
        <v>646</v>
      </c>
      <c r="B19" s="166" t="s">
        <v>1087</v>
      </c>
      <c r="C19" s="170" t="s">
        <v>522</v>
      </c>
      <c r="D19" s="213"/>
      <c r="E19" s="166" t="s">
        <v>1066</v>
      </c>
      <c r="F19" s="166" t="s">
        <v>646</v>
      </c>
      <c r="G19" s="166" t="s">
        <v>12764</v>
      </c>
      <c r="H19" s="167">
        <v>0</v>
      </c>
      <c r="I19" s="168" t="s">
        <v>1523</v>
      </c>
      <c r="J19" s="168" t="s">
        <v>1497</v>
      </c>
      <c r="K19" s="207"/>
      <c r="L19" s="207"/>
      <c r="M19" s="207"/>
      <c r="N19" s="207" t="s">
        <v>15891</v>
      </c>
      <c r="O19" s="207" t="s">
        <v>15891</v>
      </c>
      <c r="P19" s="169" t="s">
        <v>473</v>
      </c>
      <c r="Q19" s="208"/>
      <c r="R19" s="166" t="str">
        <f ca="1">IF(ISERROR($V19),"",OFFSET('Smelter Look-up'!$C$4,$V19-4,0)&amp;"")</f>
        <v>Chugai Mining</v>
      </c>
      <c r="S19" s="165" t="str">
        <f t="shared" ca="1" si="2"/>
        <v>JP</v>
      </c>
      <c r="T19" s="165" t="str">
        <f ca="1">IF(B19="","",IF(ISERROR(MATCH($J19,SorP!$B$1:$B$6261,0)),"",INDIRECT("'SorP'!$A$"&amp;MATCH($S19&amp;$J19,SorP!C:C,0))))</f>
        <v>JP-13</v>
      </c>
      <c r="U19" s="185"/>
      <c r="V19" s="209">
        <f>IF(C19="",NA(),IF(OR(C19="Smelter not listed",C19="Smelter not yet identified"),MATCH($B19&amp;$D19,'Smelter Look-up'!$J:$J,0),MATCH($B19&amp;$C19,'Smelter Look-up'!$J:$J,0)))</f>
        <v>70</v>
      </c>
      <c r="X19" s="210">
        <f t="shared" si="3"/>
        <v>0</v>
      </c>
      <c r="AB19" s="211" t="str">
        <f t="shared" si="4"/>
        <v>GoldChugai Mining</v>
      </c>
    </row>
    <row r="20" spans="1:28" s="210" customFormat="1" ht="63.75">
      <c r="A20" s="165" t="s">
        <v>649</v>
      </c>
      <c r="B20" s="166" t="s">
        <v>1087</v>
      </c>
      <c r="C20" s="170" t="s">
        <v>2160</v>
      </c>
      <c r="D20" s="213"/>
      <c r="E20" s="166" t="s">
        <v>1069</v>
      </c>
      <c r="F20" s="166" t="s">
        <v>649</v>
      </c>
      <c r="G20" s="166" t="s">
        <v>12764</v>
      </c>
      <c r="H20" s="167">
        <v>0</v>
      </c>
      <c r="I20" s="168" t="s">
        <v>1525</v>
      </c>
      <c r="J20" s="168" t="s">
        <v>12416</v>
      </c>
      <c r="K20" s="207"/>
      <c r="L20" s="207"/>
      <c r="M20" s="207"/>
      <c r="N20" s="207" t="s">
        <v>15891</v>
      </c>
      <c r="O20" s="207" t="s">
        <v>15891</v>
      </c>
      <c r="P20" s="169" t="s">
        <v>473</v>
      </c>
      <c r="Q20" s="208"/>
      <c r="R20" s="166" t="str">
        <f ca="1">IF(ISERROR($V20),"",OFFSET('Smelter Look-up'!$C$4,$V20-4,0)&amp;"")</f>
        <v>DSC (Do Sung Corporation)</v>
      </c>
      <c r="S20" s="165" t="str">
        <f t="shared" ca="1" si="2"/>
        <v>KR</v>
      </c>
      <c r="T20" s="165" t="str">
        <f ca="1">IF(B20="","",IF(ISERROR(MATCH($J20,SorP!$B$1:$B$6261,0)),"",INDIRECT("'SorP'!$A$"&amp;MATCH($S20&amp;$J20,SorP!C:C,0))))</f>
        <v>KR-41</v>
      </c>
      <c r="U20" s="185"/>
      <c r="V20" s="209">
        <f>IF(C20="",NA(),IF(OR(C20="Smelter not listed",C20="Smelter not yet identified"),MATCH($B20&amp;$D20,'Smelter Look-up'!$J:$J,0),MATCH($B20&amp;$C20,'Smelter Look-up'!$J:$J,0)))</f>
        <v>83</v>
      </c>
      <c r="X20" s="210">
        <f t="shared" si="3"/>
        <v>0</v>
      </c>
      <c r="AB20" s="211" t="str">
        <f t="shared" si="4"/>
        <v>GoldDSC (Do Sung Corporation)</v>
      </c>
    </row>
    <row r="21" spans="1:28" s="210" customFormat="1" ht="25.5">
      <c r="A21" s="165" t="s">
        <v>650</v>
      </c>
      <c r="B21" s="166" t="s">
        <v>1087</v>
      </c>
      <c r="C21" s="170" t="s">
        <v>866</v>
      </c>
      <c r="D21" s="213"/>
      <c r="E21" s="166" t="s">
        <v>1066</v>
      </c>
      <c r="F21" s="166" t="s">
        <v>650</v>
      </c>
      <c r="G21" s="166" t="s">
        <v>12764</v>
      </c>
      <c r="H21" s="167">
        <v>0</v>
      </c>
      <c r="I21" s="168" t="s">
        <v>1526</v>
      </c>
      <c r="J21" s="168" t="s">
        <v>1527</v>
      </c>
      <c r="K21" s="207"/>
      <c r="L21" s="207"/>
      <c r="M21" s="207"/>
      <c r="N21" s="207"/>
      <c r="O21" s="207"/>
      <c r="P21" s="169" t="s">
        <v>474</v>
      </c>
      <c r="Q21" s="208"/>
      <c r="R21" s="166" t="str">
        <f ca="1">IF(ISERROR($V21),"",OFFSET('Smelter Look-up'!$C$4,$V21-4,0)&amp;"")</f>
        <v>Dowa</v>
      </c>
      <c r="S21" s="165" t="str">
        <f t="shared" ca="1" si="2"/>
        <v>JP</v>
      </c>
      <c r="T21" s="165" t="str">
        <f ca="1">IF(B21="","",IF(ISERROR(MATCH($J21,SorP!$B$1:$B$6261,0)),"",INDIRECT("'SorP'!$A$"&amp;MATCH($S21&amp;$J21,SorP!C:C,0))))</f>
        <v>JP-05</v>
      </c>
      <c r="U21" s="185"/>
      <c r="V21" s="209">
        <f>IF(C21="",NA(),IF(OR(C21="Smelter not listed",C21="Smelter not yet identified"),MATCH($B21&amp;$D21,'Smelter Look-up'!$J:$J,0),MATCH($B21&amp;$C21,'Smelter Look-up'!$J:$J,0)))</f>
        <v>79</v>
      </c>
      <c r="X21" s="210">
        <f t="shared" si="3"/>
        <v>0</v>
      </c>
      <c r="AB21" s="211" t="str">
        <f t="shared" si="4"/>
        <v>GoldDowa</v>
      </c>
    </row>
    <row r="22" spans="1:28" s="210" customFormat="1" ht="89.25">
      <c r="A22" s="165" t="s">
        <v>382</v>
      </c>
      <c r="B22" s="166" t="s">
        <v>1087</v>
      </c>
      <c r="C22" s="170" t="s">
        <v>13321</v>
      </c>
      <c r="D22" s="213"/>
      <c r="E22" s="166" t="s">
        <v>1066</v>
      </c>
      <c r="F22" s="166" t="s">
        <v>382</v>
      </c>
      <c r="G22" s="166" t="s">
        <v>12764</v>
      </c>
      <c r="H22" s="167">
        <v>0</v>
      </c>
      <c r="I22" s="168" t="s">
        <v>1531</v>
      </c>
      <c r="J22" s="168" t="s">
        <v>1532</v>
      </c>
      <c r="K22" s="207"/>
      <c r="L22" s="207"/>
      <c r="M22" s="207"/>
      <c r="N22" s="207" t="s">
        <v>15891</v>
      </c>
      <c r="O22" s="207" t="s">
        <v>15891</v>
      </c>
      <c r="P22" s="169" t="s">
        <v>473</v>
      </c>
      <c r="Q22" s="208"/>
      <c r="R22" s="166" t="str">
        <f ca="1">IF(ISERROR($V22),"",OFFSET('Smelter Look-up'!$C$4,$V22-4,0)&amp;"")</f>
        <v>Eco-System Recycling Co., Ltd. East Plant</v>
      </c>
      <c r="S22" s="165" t="str">
        <f t="shared" ca="1" si="2"/>
        <v>JP</v>
      </c>
      <c r="T22" s="165" t="str">
        <f ca="1">IF(B22="","",IF(ISERROR(MATCH($J22,SorP!$B$1:$B$6261,0)),"",INDIRECT("'SorP'!$A$"&amp;MATCH($S22&amp;$J22,SorP!C:C,0))))</f>
        <v>JP-11</v>
      </c>
      <c r="U22" s="185"/>
      <c r="V22" s="209">
        <f>IF(C22="",NA(),IF(OR(C22="Smelter not listed",C22="Smelter not yet identified"),MATCH($B22&amp;$D22,'Smelter Look-up'!$J:$J,0),MATCH($B22&amp;$C22,'Smelter Look-up'!$J:$J,0)))</f>
        <v>84</v>
      </c>
      <c r="X22" s="210">
        <f t="shared" si="3"/>
        <v>0</v>
      </c>
      <c r="AB22" s="211" t="str">
        <f t="shared" si="4"/>
        <v>GoldEco-System Recycling Co., Ltd. East Plant</v>
      </c>
    </row>
    <row r="23" spans="1:28" s="210" customFormat="1" ht="38.25">
      <c r="A23" s="165" t="s">
        <v>2388</v>
      </c>
      <c r="B23" s="166" t="s">
        <v>1087</v>
      </c>
      <c r="C23" s="170" t="s">
        <v>13326</v>
      </c>
      <c r="D23" s="213"/>
      <c r="E23" s="166" t="s">
        <v>1069</v>
      </c>
      <c r="F23" s="166" t="s">
        <v>2388</v>
      </c>
      <c r="G23" s="166" t="s">
        <v>12764</v>
      </c>
      <c r="H23" s="167">
        <v>0</v>
      </c>
      <c r="I23" s="168" t="s">
        <v>2389</v>
      </c>
      <c r="J23" s="168" t="s">
        <v>12412</v>
      </c>
      <c r="K23" s="207"/>
      <c r="L23" s="207"/>
      <c r="M23" s="207"/>
      <c r="N23" s="207" t="s">
        <v>15891</v>
      </c>
      <c r="O23" s="207" t="s">
        <v>15891</v>
      </c>
      <c r="P23" s="169" t="s">
        <v>473</v>
      </c>
      <c r="Q23" s="208"/>
      <c r="R23" s="166" t="str">
        <f ca="1">IF(ISERROR($V23),"",OFFSET('Smelter Look-up'!$C$4,$V23-4,0)&amp;"")</f>
        <v>LT Metal Ltd.</v>
      </c>
      <c r="S23" s="165" t="str">
        <f t="shared" ca="1" si="2"/>
        <v>KR</v>
      </c>
      <c r="T23" s="165" t="str">
        <f ca="1">IF(B23="","",IF(ISERROR(MATCH($J23,SorP!$B$1:$B$6261,0)),"",INDIRECT("'SorP'!$A$"&amp;MATCH($S23&amp;$J23,SorP!C:C,0))))</f>
        <v>KR-28</v>
      </c>
      <c r="U23" s="185"/>
      <c r="V23" s="209">
        <f>IF(C23="",NA(),IF(OR(C23="Smelter not listed",C23="Smelter not yet identified"),MATCH($B23&amp;$D23,'Smelter Look-up'!$J:$J,0),MATCH($B23&amp;$C23,'Smelter Look-up'!$J:$J,0)))</f>
        <v>179</v>
      </c>
      <c r="X23" s="210">
        <f t="shared" si="3"/>
        <v>0</v>
      </c>
      <c r="AB23" s="211" t="str">
        <f t="shared" si="4"/>
        <v>GoldLT Metal Ltd.</v>
      </c>
    </row>
    <row r="24" spans="1:28" s="210" customFormat="1" ht="51">
      <c r="A24" s="165" t="s">
        <v>652</v>
      </c>
      <c r="B24" s="166" t="s">
        <v>1087</v>
      </c>
      <c r="C24" s="170" t="s">
        <v>997</v>
      </c>
      <c r="D24" s="213"/>
      <c r="E24" s="166" t="s">
        <v>1059</v>
      </c>
      <c r="F24" s="166" t="s">
        <v>652</v>
      </c>
      <c r="G24" s="166" t="s">
        <v>12764</v>
      </c>
      <c r="H24" s="167">
        <v>0</v>
      </c>
      <c r="I24" s="168" t="s">
        <v>1498</v>
      </c>
      <c r="J24" s="168" t="s">
        <v>1499</v>
      </c>
      <c r="K24" s="207"/>
      <c r="L24" s="207"/>
      <c r="M24" s="207"/>
      <c r="N24" s="207" t="s">
        <v>15891</v>
      </c>
      <c r="O24" s="207" t="s">
        <v>15891</v>
      </c>
      <c r="P24" s="169" t="s">
        <v>475</v>
      </c>
      <c r="Q24" s="208"/>
      <c r="R24" s="166" t="str">
        <f ca="1">IF(ISERROR($V24),"",OFFSET('Smelter Look-up'!$C$4,$V24-4,0)&amp;"")</f>
        <v>Heimerle + Meule GmbH</v>
      </c>
      <c r="S24" s="165" t="str">
        <f t="shared" ca="1" si="2"/>
        <v>DE</v>
      </c>
      <c r="T24" s="165" t="str">
        <f ca="1">IF(B24="","",IF(ISERROR(MATCH($J24,SorP!$B$1:$B$6261,0)),"",INDIRECT("'SorP'!$A$"&amp;MATCH($S24&amp;$J24,SorP!C:C,0))))</f>
        <v>DE-BW</v>
      </c>
      <c r="U24" s="185"/>
      <c r="V24" s="209">
        <f>IF(C24="",NA(),IF(OR(C24="Smelter not listed",C24="Smelter not yet identified"),MATCH($B24&amp;$D24,'Smelter Look-up'!$J:$J,0),MATCH($B24&amp;$C24,'Smelter Look-up'!$J:$J,0)))</f>
        <v>117</v>
      </c>
      <c r="X24" s="210">
        <f t="shared" si="3"/>
        <v>0</v>
      </c>
      <c r="AB24" s="211" t="str">
        <f t="shared" si="4"/>
        <v>GoldHeimerle + Meule GmbH</v>
      </c>
    </row>
    <row r="25" spans="1:28" s="210" customFormat="1" ht="76.5">
      <c r="A25" s="165" t="s">
        <v>653</v>
      </c>
      <c r="B25" s="166" t="s">
        <v>1087</v>
      </c>
      <c r="C25" s="170" t="s">
        <v>2390</v>
      </c>
      <c r="D25" s="213"/>
      <c r="E25" s="166" t="s">
        <v>1058</v>
      </c>
      <c r="F25" s="166" t="s">
        <v>653</v>
      </c>
      <c r="G25" s="166" t="s">
        <v>12764</v>
      </c>
      <c r="H25" s="167">
        <v>0</v>
      </c>
      <c r="I25" s="168" t="s">
        <v>1536</v>
      </c>
      <c r="J25" s="168" t="s">
        <v>15158</v>
      </c>
      <c r="K25" s="207"/>
      <c r="L25" s="207"/>
      <c r="M25" s="207"/>
      <c r="N25" s="207" t="s">
        <v>15891</v>
      </c>
      <c r="O25" s="207" t="s">
        <v>15891</v>
      </c>
      <c r="P25" s="169" t="s">
        <v>475</v>
      </c>
      <c r="Q25" s="208"/>
      <c r="R25" s="166" t="str">
        <f ca="1">IF(ISERROR($V25),"",OFFSET('Smelter Look-up'!$C$4,$V25-4,0)&amp;"")</f>
        <v>Heraeus Metals Hong Kong Ltd.</v>
      </c>
      <c r="S25" s="165" t="str">
        <f t="shared" ca="1" si="2"/>
        <v>CN</v>
      </c>
      <c r="T25" s="165" t="str">
        <f ca="1">IF(B25="","",IF(ISERROR(MATCH($J25,SorP!$B$1:$B$6261,0)),"",INDIRECT("'SorP'!$A$"&amp;MATCH($S25&amp;$J25,SorP!C:C,0))))</f>
        <v/>
      </c>
      <c r="U25" s="185"/>
      <c r="V25" s="209">
        <f>IF(C25="",NA(),IF(OR(C25="Smelter not listed",C25="Smelter not yet identified"),MATCH($B25&amp;$D25,'Smelter Look-up'!$J:$J,0),MATCH($B25&amp;$C25,'Smelter Look-up'!$J:$J,0)))</f>
        <v>123</v>
      </c>
      <c r="X25" s="210">
        <f t="shared" si="3"/>
        <v>0</v>
      </c>
      <c r="AB25" s="211" t="str">
        <f t="shared" si="4"/>
        <v>GoldHeraeus Metals Hong Kong Ltd.</v>
      </c>
    </row>
    <row r="26" spans="1:28" s="210" customFormat="1" ht="63.75">
      <c r="A26" s="165" t="s">
        <v>654</v>
      </c>
      <c r="B26" s="166" t="s">
        <v>1087</v>
      </c>
      <c r="C26" s="170" t="s">
        <v>14502</v>
      </c>
      <c r="D26" s="213"/>
      <c r="E26" s="166" t="s">
        <v>1059</v>
      </c>
      <c r="F26" s="166" t="s">
        <v>654</v>
      </c>
      <c r="G26" s="166" t="s">
        <v>12764</v>
      </c>
      <c r="H26" s="167">
        <v>0</v>
      </c>
      <c r="I26" s="168" t="s">
        <v>1537</v>
      </c>
      <c r="J26" s="168" t="s">
        <v>4119</v>
      </c>
      <c r="K26" s="207"/>
      <c r="L26" s="207"/>
      <c r="M26" s="207"/>
      <c r="N26" s="207"/>
      <c r="O26" s="207"/>
      <c r="P26" s="169" t="s">
        <v>475</v>
      </c>
      <c r="Q26" s="208"/>
      <c r="R26" s="166" t="str">
        <f ca="1">IF(ISERROR($V26),"",OFFSET('Smelter Look-up'!$C$4,$V26-4,0)&amp;"")</f>
        <v>Heraeus Germany GmbH Co. KG</v>
      </c>
      <c r="S26" s="165" t="str">
        <f t="shared" ca="1" si="2"/>
        <v>DE</v>
      </c>
      <c r="T26" s="165" t="str">
        <f ca="1">IF(B26="","",IF(ISERROR(MATCH($J26,SorP!$B$1:$B$6261,0)),"",INDIRECT("'SorP'!$A$"&amp;MATCH($S26&amp;$J26,SorP!C:C,0))))</f>
        <v>DE-HE</v>
      </c>
      <c r="U26" s="185"/>
      <c r="V26" s="209">
        <f>IF(C26="",NA(),IF(OR(C26="Smelter not listed",C26="Smelter not yet identified"),MATCH($B26&amp;$D26,'Smelter Look-up'!$J:$J,0),MATCH($B26&amp;$C26,'Smelter Look-up'!$J:$J,0)))</f>
        <v>121</v>
      </c>
      <c r="X26" s="210">
        <f t="shared" si="3"/>
        <v>0</v>
      </c>
      <c r="AB26" s="211" t="str">
        <f t="shared" si="4"/>
        <v>GoldHeraeus Germany GmbH Co. KG</v>
      </c>
    </row>
    <row r="27" spans="1:28" s="210" customFormat="1" ht="153">
      <c r="A27" s="165" t="s">
        <v>657</v>
      </c>
      <c r="B27" s="166" t="s">
        <v>1087</v>
      </c>
      <c r="C27" s="170" t="s">
        <v>2195</v>
      </c>
      <c r="D27" s="213"/>
      <c r="E27" s="166" t="s">
        <v>1058</v>
      </c>
      <c r="F27" s="166" t="s">
        <v>657</v>
      </c>
      <c r="G27" s="166" t="s">
        <v>12764</v>
      </c>
      <c r="H27" s="167">
        <v>0</v>
      </c>
      <c r="I27" s="168" t="s">
        <v>1540</v>
      </c>
      <c r="J27" s="168" t="s">
        <v>13100</v>
      </c>
      <c r="K27" s="207"/>
      <c r="L27" s="207"/>
      <c r="M27" s="207"/>
      <c r="N27" s="207"/>
      <c r="O27" s="207"/>
      <c r="P27" s="169" t="s">
        <v>475</v>
      </c>
      <c r="Q27" s="208"/>
      <c r="R27" s="166" t="str">
        <f ca="1">IF(ISERROR($V27),"",OFFSET('Smelter Look-up'!$C$4,$V27-4,0)&amp;"")</f>
        <v>Inner Mongolia Qiankun Gold and Silver Refinery Share Co., Ltd.</v>
      </c>
      <c r="S27" s="165" t="str">
        <f t="shared" ca="1" si="2"/>
        <v>CN</v>
      </c>
      <c r="T27" s="165" t="str">
        <f ca="1">IF(B27="","",IF(ISERROR(MATCH($J27,SorP!$B$1:$B$6261,0)),"",INDIRECT("'SorP'!$A$"&amp;MATCH($S27&amp;$J27,SorP!C:C,0))))</f>
        <v>CN-NM</v>
      </c>
      <c r="U27" s="185"/>
      <c r="V27" s="209">
        <f>IF(C27="",NA(),IF(OR(C27="Smelter not listed",C27="Smelter not yet identified"),MATCH($B27&amp;$D27,'Smelter Look-up'!$J:$J,0),MATCH($B27&amp;$C27,'Smelter Look-up'!$J:$J,0)))</f>
        <v>135</v>
      </c>
      <c r="X27" s="210">
        <f t="shared" si="3"/>
        <v>0</v>
      </c>
      <c r="AB27" s="211" t="str">
        <f t="shared" si="4"/>
        <v>GoldInner Mongolia Qiankun Gold and Silver Refinery Share Co., Ltd.</v>
      </c>
    </row>
    <row r="28" spans="1:28" s="210" customFormat="1" ht="76.5">
      <c r="A28" s="165" t="s">
        <v>658</v>
      </c>
      <c r="B28" s="166" t="s">
        <v>1087</v>
      </c>
      <c r="C28" s="170" t="s">
        <v>1182</v>
      </c>
      <c r="D28" s="213"/>
      <c r="E28" s="166" t="s">
        <v>1066</v>
      </c>
      <c r="F28" s="166" t="s">
        <v>658</v>
      </c>
      <c r="G28" s="166" t="s">
        <v>12764</v>
      </c>
      <c r="H28" s="167">
        <v>0</v>
      </c>
      <c r="I28" s="168" t="s">
        <v>1541</v>
      </c>
      <c r="J28" s="168" t="s">
        <v>1532</v>
      </c>
      <c r="K28" s="207"/>
      <c r="L28" s="207"/>
      <c r="M28" s="207"/>
      <c r="N28" s="207" t="s">
        <v>15891</v>
      </c>
      <c r="O28" s="207" t="s">
        <v>15891</v>
      </c>
      <c r="P28" s="169" t="s">
        <v>473</v>
      </c>
      <c r="Q28" s="208"/>
      <c r="R28" s="166" t="str">
        <f ca="1">IF(ISERROR($V28),"",OFFSET('Smelter Look-up'!$C$4,$V28-4,0)&amp;"")</f>
        <v>Ishifuku Metal Industry Co., Ltd.</v>
      </c>
      <c r="S28" s="165" t="str">
        <f t="shared" ca="1" si="2"/>
        <v>JP</v>
      </c>
      <c r="T28" s="165" t="str">
        <f ca="1">IF(B28="","",IF(ISERROR(MATCH($J28,SorP!$B$1:$B$6261,0)),"",INDIRECT("'SorP'!$A$"&amp;MATCH($S28&amp;$J28,SorP!C:C,0))))</f>
        <v>JP-11</v>
      </c>
      <c r="U28" s="185"/>
      <c r="V28" s="209">
        <f>IF(C28="",NA(),IF(OR(C28="Smelter not listed",C28="Smelter not yet identified"),MATCH($B28&amp;$D28,'Smelter Look-up'!$J:$J,0),MATCH($B28&amp;$C28,'Smelter Look-up'!$J:$J,0)))</f>
        <v>137</v>
      </c>
      <c r="X28" s="210">
        <f t="shared" si="3"/>
        <v>0</v>
      </c>
      <c r="AB28" s="211" t="str">
        <f t="shared" si="4"/>
        <v>GoldIshifuku Metal Industry Co., Ltd.</v>
      </c>
    </row>
    <row r="29" spans="1:28" s="210" customFormat="1" ht="51">
      <c r="A29" s="165" t="s">
        <v>659</v>
      </c>
      <c r="B29" s="166" t="s">
        <v>1087</v>
      </c>
      <c r="C29" s="170" t="s">
        <v>1189</v>
      </c>
      <c r="D29" s="213"/>
      <c r="E29" s="166" t="s">
        <v>849</v>
      </c>
      <c r="F29" s="166" t="s">
        <v>659</v>
      </c>
      <c r="G29" s="166" t="s">
        <v>12764</v>
      </c>
      <c r="H29" s="167">
        <v>0</v>
      </c>
      <c r="I29" s="168" t="s">
        <v>15895</v>
      </c>
      <c r="J29" s="168" t="s">
        <v>10828</v>
      </c>
      <c r="K29" s="207"/>
      <c r="L29" s="207"/>
      <c r="M29" s="207"/>
      <c r="N29" s="207"/>
      <c r="O29" s="207"/>
      <c r="P29" s="169" t="s">
        <v>474</v>
      </c>
      <c r="Q29" s="208"/>
      <c r="R29" s="166" t="str">
        <f ca="1">IF(ISERROR($V29),"",OFFSET('Smelter Look-up'!$C$4,$V29-4,0)&amp;"")</f>
        <v>Istanbul Gold Refinery</v>
      </c>
      <c r="S29" s="165" t="str">
        <f t="shared" ca="1" si="2"/>
        <v>Unknown</v>
      </c>
      <c r="T29" s="165" t="e">
        <f ca="1">IF(B29="","",IF(ISERROR(MATCH($J29,SorP!$B$1:$B$6261,0)),"",INDIRECT("'SorP'!$A$"&amp;MATCH($S29&amp;$J29,SorP!C:C,0))))</f>
        <v>#N/A</v>
      </c>
      <c r="U29" s="185"/>
      <c r="V29" s="209">
        <f>IF(C29="",NA(),IF(OR(C29="Smelter not listed",C29="Smelter not yet identified"),MATCH($B29&amp;$D29,'Smelter Look-up'!$J:$J,0),MATCH($B29&amp;$C29,'Smelter Look-up'!$J:$J,0)))</f>
        <v>138</v>
      </c>
      <c r="X29" s="210">
        <f t="shared" si="3"/>
        <v>0</v>
      </c>
      <c r="AB29" s="211" t="str">
        <f t="shared" si="4"/>
        <v>GoldIstanbul Gold Refinery</v>
      </c>
    </row>
    <row r="30" spans="1:28" s="210" customFormat="1" ht="25.5">
      <c r="A30" s="165" t="s">
        <v>660</v>
      </c>
      <c r="B30" s="166" t="s">
        <v>1087</v>
      </c>
      <c r="C30" s="170" t="s">
        <v>868</v>
      </c>
      <c r="D30" s="213"/>
      <c r="E30" s="166" t="s">
        <v>1066</v>
      </c>
      <c r="F30" s="166" t="s">
        <v>660</v>
      </c>
      <c r="G30" s="166" t="s">
        <v>12764</v>
      </c>
      <c r="H30" s="167">
        <v>0</v>
      </c>
      <c r="I30" s="168" t="s">
        <v>1542</v>
      </c>
      <c r="J30" s="168" t="s">
        <v>1542</v>
      </c>
      <c r="K30" s="207"/>
      <c r="L30" s="207"/>
      <c r="M30" s="207"/>
      <c r="N30" s="207"/>
      <c r="O30" s="207"/>
      <c r="P30" s="169" t="s">
        <v>475</v>
      </c>
      <c r="Q30" s="208"/>
      <c r="R30" s="166" t="str">
        <f ca="1">IF(ISERROR($V30),"",OFFSET('Smelter Look-up'!$C$4,$V30-4,0)&amp;"")</f>
        <v>Japan Mint</v>
      </c>
      <c r="S30" s="165" t="str">
        <f t="shared" ca="1" si="2"/>
        <v>JP</v>
      </c>
      <c r="T30" s="165" t="str">
        <f ca="1">IF(B30="","",IF(ISERROR(MATCH($J30,SorP!$B$1:$B$6261,0)),"",INDIRECT("'SorP'!$A$"&amp;MATCH($S30&amp;$J30,SorP!C:C,0))))</f>
        <v>JP-27</v>
      </c>
      <c r="U30" s="185"/>
      <c r="V30" s="209">
        <f>IF(C30="",NA(),IF(OR(C30="Smelter not listed",C30="Smelter not yet identified"),MATCH($B30&amp;$D30,'Smelter Look-up'!$J:$J,0),MATCH($B30&amp;$C30,'Smelter Look-up'!$J:$J,0)))</f>
        <v>141</v>
      </c>
      <c r="X30" s="210">
        <f t="shared" si="3"/>
        <v>0</v>
      </c>
      <c r="AB30" s="211" t="str">
        <f t="shared" si="4"/>
        <v>GoldJapan Mint</v>
      </c>
    </row>
    <row r="31" spans="1:28" s="210" customFormat="1" ht="63.75">
      <c r="A31" s="165" t="s">
        <v>661</v>
      </c>
      <c r="B31" s="166" t="s">
        <v>1087</v>
      </c>
      <c r="C31" s="170" t="s">
        <v>2196</v>
      </c>
      <c r="D31" s="213"/>
      <c r="E31" s="166" t="s">
        <v>1058</v>
      </c>
      <c r="F31" s="166" t="s">
        <v>661</v>
      </c>
      <c r="G31" s="166" t="s">
        <v>12764</v>
      </c>
      <c r="H31" s="167">
        <v>0</v>
      </c>
      <c r="I31" s="168" t="s">
        <v>1543</v>
      </c>
      <c r="J31" s="168" t="s">
        <v>13117</v>
      </c>
      <c r="K31" s="207"/>
      <c r="L31" s="207"/>
      <c r="M31" s="207"/>
      <c r="N31" s="207"/>
      <c r="O31" s="207"/>
      <c r="P31" s="169" t="s">
        <v>474</v>
      </c>
      <c r="Q31" s="208"/>
      <c r="R31" s="166" t="str">
        <f ca="1">IF(ISERROR($V31),"",OFFSET('Smelter Look-up'!$C$4,$V31-4,0)&amp;"")</f>
        <v>Jiangxi Copper Co., Ltd.</v>
      </c>
      <c r="S31" s="165" t="str">
        <f t="shared" ca="1" si="2"/>
        <v>CN</v>
      </c>
      <c r="T31" s="165" t="str">
        <f ca="1">IF(B31="","",IF(ISERROR(MATCH($J31,SorP!$B$1:$B$6261,0)),"",INDIRECT("'SorP'!$A$"&amp;MATCH($S31&amp;$J31,SorP!C:C,0))))</f>
        <v>CN-JX</v>
      </c>
      <c r="U31" s="185"/>
      <c r="V31" s="209">
        <f>IF(C31="",NA(),IF(OR(C31="Smelter not listed",C31="Smelter not yet identified"),MATCH($B31&amp;$D31,'Smelter Look-up'!$J:$J,0),MATCH($B31&amp;$C31,'Smelter Look-up'!$J:$J,0)))</f>
        <v>143</v>
      </c>
      <c r="X31" s="210">
        <f t="shared" si="3"/>
        <v>0</v>
      </c>
      <c r="AB31" s="211" t="str">
        <f t="shared" si="4"/>
        <v>GoldJiangxi Copper Co., Ltd.</v>
      </c>
    </row>
    <row r="32" spans="1:28" s="210" customFormat="1" ht="63.75">
      <c r="A32" s="165" t="s">
        <v>662</v>
      </c>
      <c r="B32" s="166" t="s">
        <v>1087</v>
      </c>
      <c r="C32" s="170" t="s">
        <v>2106</v>
      </c>
      <c r="D32" s="213"/>
      <c r="E32" s="166" t="s">
        <v>2323</v>
      </c>
      <c r="F32" s="166" t="s">
        <v>662</v>
      </c>
      <c r="G32" s="166" t="s">
        <v>12764</v>
      </c>
      <c r="H32" s="167">
        <v>0</v>
      </c>
      <c r="I32" s="168" t="s">
        <v>1545</v>
      </c>
      <c r="J32" s="168" t="s">
        <v>1546</v>
      </c>
      <c r="K32" s="207"/>
      <c r="L32" s="207"/>
      <c r="M32" s="207"/>
      <c r="N32" s="207" t="s">
        <v>15891</v>
      </c>
      <c r="O32" s="207" t="s">
        <v>15891</v>
      </c>
      <c r="P32" s="169" t="s">
        <v>473</v>
      </c>
      <c r="Q32" s="208"/>
      <c r="R32" s="166" t="str">
        <f ca="1">IF(ISERROR($V32),"",OFFSET('Smelter Look-up'!$C$4,$V32-4,0)&amp;"")</f>
        <v>Asahi Refining USA Inc.</v>
      </c>
      <c r="S32" s="165" t="str">
        <f t="shared" ca="1" si="2"/>
        <v>US</v>
      </c>
      <c r="T32" s="165" t="str">
        <f ca="1">IF(B32="","",IF(ISERROR(MATCH($J32,SorP!$B$1:$B$6261,0)),"",INDIRECT("'SorP'!$A$"&amp;MATCH($S32&amp;$J32,SorP!C:C,0))))</f>
        <v>US-UT</v>
      </c>
      <c r="U32" s="185"/>
      <c r="V32" s="209">
        <f>IF(C32="",NA(),IF(OR(C32="Smelter not listed",C32="Smelter not yet identified"),MATCH($B32&amp;$D32,'Smelter Look-up'!$J:$J,0),MATCH($B32&amp;$C32,'Smelter Look-up'!$J:$J,0)))</f>
        <v>35</v>
      </c>
      <c r="X32" s="210">
        <f t="shared" si="3"/>
        <v>0</v>
      </c>
      <c r="AB32" s="211" t="str">
        <f t="shared" si="4"/>
        <v>GoldAsahi Refining USA Inc.</v>
      </c>
    </row>
    <row r="33" spans="1:28" s="210" customFormat="1" ht="63.75">
      <c r="A33" s="165" t="s">
        <v>663</v>
      </c>
      <c r="B33" s="166" t="s">
        <v>1087</v>
      </c>
      <c r="C33" s="170" t="s">
        <v>2183</v>
      </c>
      <c r="D33" s="213"/>
      <c r="E33" s="166" t="s">
        <v>1055</v>
      </c>
      <c r="F33" s="166" t="s">
        <v>663</v>
      </c>
      <c r="G33" s="166" t="s">
        <v>12764</v>
      </c>
      <c r="H33" s="167">
        <v>0</v>
      </c>
      <c r="I33" s="168" t="s">
        <v>1548</v>
      </c>
      <c r="J33" s="168" t="s">
        <v>1549</v>
      </c>
      <c r="K33" s="207"/>
      <c r="L33" s="207"/>
      <c r="M33" s="207"/>
      <c r="N33" s="207"/>
      <c r="O33" s="207"/>
      <c r="P33" s="169" t="s">
        <v>474</v>
      </c>
      <c r="Q33" s="208"/>
      <c r="R33" s="166" t="str">
        <f ca="1">IF(ISERROR($V33),"",OFFSET('Smelter Look-up'!$C$4,$V33-4,0)&amp;"")</f>
        <v>Asahi Refining Canada Ltd.</v>
      </c>
      <c r="S33" s="165" t="str">
        <f t="shared" ca="1" si="2"/>
        <v>CA</v>
      </c>
      <c r="T33" s="165" t="str">
        <f ca="1">IF(B33="","",IF(ISERROR(MATCH($J33,SorP!$B$1:$B$6261,0)),"",INDIRECT("'SorP'!$A$"&amp;MATCH($S33&amp;$J33,SorP!C:C,0))))</f>
        <v>CA-ON</v>
      </c>
      <c r="U33" s="185"/>
      <c r="V33" s="209">
        <f>IF(C33="",NA(),IF(OR(C33="Smelter not listed",C33="Smelter not yet identified"),MATCH($B33&amp;$D33,'Smelter Look-up'!$J:$J,0),MATCH($B33&amp;$C33,'Smelter Look-up'!$J:$J,0)))</f>
        <v>34</v>
      </c>
      <c r="X33" s="210">
        <f t="shared" si="3"/>
        <v>0</v>
      </c>
      <c r="AB33" s="211" t="str">
        <f t="shared" si="4"/>
        <v>GoldAsahi Refining Canada Ltd.</v>
      </c>
    </row>
    <row r="34" spans="1:28" s="210" customFormat="1" ht="76.5">
      <c r="A34" s="165" t="s">
        <v>666</v>
      </c>
      <c r="B34" s="166" t="s">
        <v>1087</v>
      </c>
      <c r="C34" s="170" t="s">
        <v>52</v>
      </c>
      <c r="D34" s="213"/>
      <c r="E34" s="166" t="s">
        <v>1066</v>
      </c>
      <c r="F34" s="166" t="s">
        <v>666</v>
      </c>
      <c r="G34" s="166" t="s">
        <v>12764</v>
      </c>
      <c r="H34" s="167">
        <v>0</v>
      </c>
      <c r="I34" s="168" t="s">
        <v>15896</v>
      </c>
      <c r="J34" s="168" t="s">
        <v>6490</v>
      </c>
      <c r="K34" s="207"/>
      <c r="L34" s="207"/>
      <c r="M34" s="207"/>
      <c r="N34" s="207" t="s">
        <v>15897</v>
      </c>
      <c r="O34" s="207" t="s">
        <v>15898</v>
      </c>
      <c r="P34" s="169" t="s">
        <v>474</v>
      </c>
      <c r="Q34" s="208"/>
      <c r="R34" s="166" t="str">
        <f ca="1">IF(ISERROR($V34),"",OFFSET('Smelter Look-up'!$C$4,$V34-4,0)&amp;"")</f>
        <v>JX Advanced Metals Corporation</v>
      </c>
      <c r="S34" s="165" t="str">
        <f t="shared" ca="1" si="2"/>
        <v>JP</v>
      </c>
      <c r="T34" s="165" t="str">
        <f ca="1">IF(B34="","",IF(ISERROR(MATCH($J34,SorP!$B$1:$B$6261,0)),"",INDIRECT("'SorP'!$A$"&amp;MATCH($S34&amp;$J34,SorP!C:C,0))))</f>
        <v>JP-44</v>
      </c>
      <c r="U34" s="185"/>
      <c r="V34" s="209">
        <f>IF(C34="",NA(),IF(OR(C34="Smelter not listed",C34="Smelter not yet identified"),MATCH($B34&amp;$D34,'Smelter Look-up'!$J:$J,0),MATCH($B34&amp;$C34,'Smelter Look-up'!$J:$J,0)))</f>
        <v>152</v>
      </c>
      <c r="X34" s="210">
        <f t="shared" si="3"/>
        <v>0</v>
      </c>
      <c r="AB34" s="211" t="str">
        <f t="shared" si="4"/>
        <v>GoldJX Nippon Mining &amp; Metals Co., Ltd.</v>
      </c>
    </row>
    <row r="35" spans="1:28" s="210" customFormat="1" ht="25.5">
      <c r="A35" s="165" t="s">
        <v>667</v>
      </c>
      <c r="B35" s="166" t="s">
        <v>1087</v>
      </c>
      <c r="C35" s="170" t="s">
        <v>1551</v>
      </c>
      <c r="D35" s="213"/>
      <c r="E35" s="166" t="s">
        <v>1067</v>
      </c>
      <c r="F35" s="166" t="s">
        <v>667</v>
      </c>
      <c r="G35" s="166" t="s">
        <v>12764</v>
      </c>
      <c r="H35" s="167">
        <v>0</v>
      </c>
      <c r="I35" s="168" t="s">
        <v>1552</v>
      </c>
      <c r="J35" s="168" t="s">
        <v>6872</v>
      </c>
      <c r="K35" s="207"/>
      <c r="L35" s="207"/>
      <c r="M35" s="207"/>
      <c r="N35" s="207"/>
      <c r="O35" s="207"/>
      <c r="P35" s="169" t="s">
        <v>474</v>
      </c>
      <c r="Q35" s="208"/>
      <c r="R35" s="166" t="str">
        <f ca="1">IF(ISERROR($V35),"",OFFSET('Smelter Look-up'!$C$4,$V35-4,0)&amp;"")</f>
        <v>Kazzinc Ltd</v>
      </c>
      <c r="S35" s="165" t="str">
        <f t="shared" ca="1" si="2"/>
        <v>KZ</v>
      </c>
      <c r="T35" s="165" t="str">
        <f ca="1">IF(B35="","",IF(ISERROR(MATCH($J35,SorP!$B$1:$B$6261,0)),"",INDIRECT("'SorP'!$A$"&amp;MATCH($S35&amp;$J35,SorP!C:C,0))))</f>
        <v>KZ-35</v>
      </c>
      <c r="U35" s="185"/>
      <c r="V35" s="209">
        <f>IF(C35="",NA(),IF(OR(C35="Smelter not listed",C35="Smelter not yet identified"),MATCH($B35&amp;$D35,'Smelter Look-up'!$J:$J,0),MATCH($B35&amp;$C35,'Smelter Look-up'!$J:$J,0)))</f>
        <v>155</v>
      </c>
      <c r="X35" s="210">
        <f t="shared" si="3"/>
        <v>0</v>
      </c>
      <c r="AB35" s="211" t="str">
        <f t="shared" si="4"/>
        <v>GoldKazzinc</v>
      </c>
    </row>
    <row r="36" spans="1:28" s="210" customFormat="1" ht="63.75">
      <c r="A36" s="165" t="s">
        <v>669</v>
      </c>
      <c r="B36" s="166" t="s">
        <v>1087</v>
      </c>
      <c r="C36" s="170" t="s">
        <v>668</v>
      </c>
      <c r="D36" s="213"/>
      <c r="E36" s="166" t="s">
        <v>2323</v>
      </c>
      <c r="F36" s="166" t="s">
        <v>669</v>
      </c>
      <c r="G36" s="166" t="s">
        <v>12764</v>
      </c>
      <c r="H36" s="167">
        <v>0</v>
      </c>
      <c r="I36" s="168" t="s">
        <v>15899</v>
      </c>
      <c r="J36" s="168" t="s">
        <v>1546</v>
      </c>
      <c r="K36" s="207"/>
      <c r="L36" s="207"/>
      <c r="M36" s="207"/>
      <c r="N36" s="207"/>
      <c r="O36" s="207"/>
      <c r="P36" s="169" t="s">
        <v>474</v>
      </c>
      <c r="Q36" s="208"/>
      <c r="R36" s="166" t="str">
        <f ca="1">IF(ISERROR($V36),"",OFFSET('Smelter Look-up'!$C$4,$V36-4,0)&amp;"")</f>
        <v>Kennecott Utah Copper LLC</v>
      </c>
      <c r="S36" s="165" t="str">
        <f t="shared" ca="1" si="2"/>
        <v>US</v>
      </c>
      <c r="T36" s="165" t="str">
        <f ca="1">IF(B36="","",IF(ISERROR(MATCH($J36,SorP!$B$1:$B$6261,0)),"",INDIRECT("'SorP'!$A$"&amp;MATCH($S36&amp;$J36,SorP!C:C,0))))</f>
        <v>US-UT</v>
      </c>
      <c r="U36" s="185"/>
      <c r="V36" s="209">
        <f>IF(C36="",NA(),IF(OR(C36="Smelter not listed",C36="Smelter not yet identified"),MATCH($B36&amp;$D36,'Smelter Look-up'!$J:$J,0),MATCH($B36&amp;$C36,'Smelter Look-up'!$J:$J,0)))</f>
        <v>157</v>
      </c>
      <c r="X36" s="210">
        <f t="shared" si="3"/>
        <v>0</v>
      </c>
      <c r="AB36" s="211" t="str">
        <f t="shared" si="4"/>
        <v>GoldKennecott Utah Copper LLC</v>
      </c>
    </row>
    <row r="37" spans="1:28" s="210" customFormat="1" ht="63.75">
      <c r="A37" s="165" t="s">
        <v>670</v>
      </c>
      <c r="B37" s="166" t="s">
        <v>1087</v>
      </c>
      <c r="C37" s="170" t="s">
        <v>2056</v>
      </c>
      <c r="D37" s="213"/>
      <c r="E37" s="166" t="s">
        <v>1066</v>
      </c>
      <c r="F37" s="166" t="s">
        <v>670</v>
      </c>
      <c r="G37" s="166" t="s">
        <v>12764</v>
      </c>
      <c r="H37" s="167">
        <v>0</v>
      </c>
      <c r="I37" s="168" t="s">
        <v>1553</v>
      </c>
      <c r="J37" s="168" t="s">
        <v>1532</v>
      </c>
      <c r="K37" s="207"/>
      <c r="L37" s="207"/>
      <c r="M37" s="207"/>
      <c r="N37" s="207" t="s">
        <v>15891</v>
      </c>
      <c r="O37" s="207" t="s">
        <v>15891</v>
      </c>
      <c r="P37" s="169" t="s">
        <v>473</v>
      </c>
      <c r="Q37" s="208"/>
      <c r="R37" s="166" t="str">
        <f ca="1">IF(ISERROR($V37),"",OFFSET('Smelter Look-up'!$C$4,$V37-4,0)&amp;"")</f>
        <v>Kojima Chemicals Co., Ltd.</v>
      </c>
      <c r="S37" s="165" t="str">
        <f t="shared" ca="1" si="2"/>
        <v>JP</v>
      </c>
      <c r="T37" s="165" t="str">
        <f ca="1">IF(B37="","",IF(ISERROR(MATCH($J37,SorP!$B$1:$B$6261,0)),"",INDIRECT("'SorP'!$A$"&amp;MATCH($S37&amp;$J37,SorP!C:C,0))))</f>
        <v>JP-11</v>
      </c>
      <c r="U37" s="185"/>
      <c r="V37" s="209">
        <f>IF(C37="",NA(),IF(OR(C37="Smelter not listed",C37="Smelter not yet identified"),MATCH($B37&amp;$D37,'Smelter Look-up'!$J:$J,0),MATCH($B37&amp;$C37,'Smelter Look-up'!$J:$J,0)))</f>
        <v>163</v>
      </c>
      <c r="X37" s="210">
        <f t="shared" si="3"/>
        <v>0</v>
      </c>
      <c r="AB37" s="211" t="str">
        <f t="shared" si="4"/>
        <v>GoldKojima Chemicals Co., Ltd.</v>
      </c>
    </row>
    <row r="38" spans="1:28" s="210" customFormat="1" ht="38.25">
      <c r="A38" s="165" t="s">
        <v>672</v>
      </c>
      <c r="B38" s="166" t="s">
        <v>1087</v>
      </c>
      <c r="C38" s="170" t="s">
        <v>15164</v>
      </c>
      <c r="D38" s="213"/>
      <c r="E38" s="166" t="s">
        <v>1069</v>
      </c>
      <c r="F38" s="166" t="s">
        <v>672</v>
      </c>
      <c r="G38" s="166" t="s">
        <v>12764</v>
      </c>
      <c r="H38" s="167">
        <v>0</v>
      </c>
      <c r="I38" s="168" t="s">
        <v>1556</v>
      </c>
      <c r="J38" s="168" t="s">
        <v>12413</v>
      </c>
      <c r="K38" s="207"/>
      <c r="L38" s="207"/>
      <c r="M38" s="207"/>
      <c r="N38" s="207"/>
      <c r="O38" s="207"/>
      <c r="P38" s="169" t="s">
        <v>475</v>
      </c>
      <c r="Q38" s="208"/>
      <c r="R38" s="166" t="str">
        <f ca="1">IF(ISERROR($V38),"",OFFSET('Smelter Look-up'!$C$4,$V38-4,0)&amp;"")</f>
        <v>LS MnM Inc.</v>
      </c>
      <c r="S38" s="165" t="str">
        <f t="shared" ref="S38:S68" ca="1" si="5">IF(B38="","",IF(ISERROR(MATCH($E38,CL,0)),"Unknown",INDIRECT("'C'!$A$"&amp;MATCH($E38,CL,0)+1)))</f>
        <v>KR</v>
      </c>
      <c r="T38" s="165" t="str">
        <f ca="1">IF(B38="","",IF(ISERROR(MATCH($J38,SorP!$B$1:$B$6261,0)),"",INDIRECT("'SorP'!$A$"&amp;MATCH($S38&amp;$J38,SorP!C:C,0))))</f>
        <v>KR-31</v>
      </c>
      <c r="U38" s="185"/>
      <c r="V38" s="209">
        <f>IF(C38="",NA(),IF(OR(C38="Smelter not listed",C38="Smelter not yet identified"),MATCH($B38&amp;$D38,'Smelter Look-up'!$J:$J,0),MATCH($B38&amp;$C38,'Smelter Look-up'!$J:$J,0)))</f>
        <v>178</v>
      </c>
      <c r="X38" s="210">
        <f t="shared" ref="X38:X68" si="6">IF(AND(C38="Smelter not listed",OR(LEN(D38)=0,LEN(E38)=0)),1,0)</f>
        <v>0</v>
      </c>
      <c r="AB38" s="211" t="str">
        <f t="shared" ref="AB38:AB68" si="7">B38&amp;C38</f>
        <v>GoldLS MnM Inc.</v>
      </c>
    </row>
    <row r="39" spans="1:28" s="210" customFormat="1" ht="25.5">
      <c r="A39" s="165" t="s">
        <v>675</v>
      </c>
      <c r="B39" s="166" t="s">
        <v>1087</v>
      </c>
      <c r="C39" s="170" t="s">
        <v>870</v>
      </c>
      <c r="D39" s="213"/>
      <c r="E39" s="166" t="s">
        <v>2323</v>
      </c>
      <c r="F39" s="166" t="s">
        <v>675</v>
      </c>
      <c r="G39" s="166" t="s">
        <v>12764</v>
      </c>
      <c r="H39" s="167">
        <v>0</v>
      </c>
      <c r="I39" s="168" t="s">
        <v>1559</v>
      </c>
      <c r="J39" s="168" t="s">
        <v>1560</v>
      </c>
      <c r="K39" s="207"/>
      <c r="L39" s="207"/>
      <c r="M39" s="207"/>
      <c r="N39" s="207"/>
      <c r="O39" s="207"/>
      <c r="P39" s="169" t="s">
        <v>474</v>
      </c>
      <c r="Q39" s="208"/>
      <c r="R39" s="166" t="str">
        <f ca="1">IF(ISERROR($V39),"",OFFSET('Smelter Look-up'!$C$4,$V39-4,0)&amp;"")</f>
        <v>Materion</v>
      </c>
      <c r="S39" s="165" t="str">
        <f t="shared" ca="1" si="5"/>
        <v>US</v>
      </c>
      <c r="T39" s="165" t="str">
        <f ca="1">IF(B39="","",IF(ISERROR(MATCH($J39,SorP!$B$1:$B$6261,0)),"",INDIRECT("'SorP'!$A$"&amp;MATCH($S39&amp;$J39,SorP!C:C,0))))</f>
        <v>US-NY</v>
      </c>
      <c r="U39" s="185"/>
      <c r="V39" s="209">
        <f>IF(C39="",NA(),IF(OR(C39="Smelter not listed",C39="Smelter not yet identified"),MATCH($B39&amp;$D39,'Smelter Look-up'!$J:$J,0),MATCH($B39&amp;$C39,'Smelter Look-up'!$J:$J,0)))</f>
        <v>184</v>
      </c>
      <c r="X39" s="210">
        <f t="shared" si="6"/>
        <v>0</v>
      </c>
      <c r="AB39" s="211" t="str">
        <f t="shared" si="7"/>
        <v>GoldMaterion</v>
      </c>
    </row>
    <row r="40" spans="1:28" s="210" customFormat="1" ht="63.75">
      <c r="A40" s="165" t="s">
        <v>676</v>
      </c>
      <c r="B40" s="166" t="s">
        <v>1087</v>
      </c>
      <c r="C40" s="170" t="s">
        <v>53</v>
      </c>
      <c r="D40" s="213"/>
      <c r="E40" s="166" t="s">
        <v>1066</v>
      </c>
      <c r="F40" s="166" t="s">
        <v>676</v>
      </c>
      <c r="G40" s="166" t="s">
        <v>12764</v>
      </c>
      <c r="H40" s="167">
        <v>0</v>
      </c>
      <c r="I40" s="168" t="s">
        <v>15900</v>
      </c>
      <c r="J40" s="168" t="s">
        <v>1532</v>
      </c>
      <c r="K40" s="207"/>
      <c r="L40" s="207"/>
      <c r="M40" s="207"/>
      <c r="N40" s="207" t="s">
        <v>15891</v>
      </c>
      <c r="O40" s="207" t="s">
        <v>15891</v>
      </c>
      <c r="P40" s="169" t="s">
        <v>473</v>
      </c>
      <c r="Q40" s="208"/>
      <c r="R40" s="166" t="str">
        <f ca="1">IF(ISERROR($V40),"",OFFSET('Smelter Look-up'!$C$4,$V40-4,0)&amp;"")</f>
        <v>Matsuda Sangyo Co., Ltd.</v>
      </c>
      <c r="S40" s="165" t="str">
        <f t="shared" ca="1" si="5"/>
        <v>JP</v>
      </c>
      <c r="T40" s="165" t="str">
        <f ca="1">IF(B40="","",IF(ISERROR(MATCH($J40,SorP!$B$1:$B$6261,0)),"",INDIRECT("'SorP'!$A$"&amp;MATCH($S40&amp;$J40,SorP!C:C,0))))</f>
        <v>JP-11</v>
      </c>
      <c r="U40" s="185"/>
      <c r="V40" s="209">
        <f>IF(C40="",NA(),IF(OR(C40="Smelter not listed",C40="Smelter not yet identified"),MATCH($B40&amp;$D40,'Smelter Look-up'!$J:$J,0),MATCH($B40&amp;$C40,'Smelter Look-up'!$J:$J,0)))</f>
        <v>185</v>
      </c>
      <c r="X40" s="210">
        <f t="shared" si="6"/>
        <v>0</v>
      </c>
      <c r="AB40" s="211" t="str">
        <f t="shared" si="7"/>
        <v>GoldMatsuda Sangyo Co., Ltd.</v>
      </c>
    </row>
    <row r="41" spans="1:28" s="210" customFormat="1" ht="76.5">
      <c r="A41" s="165" t="s">
        <v>1562</v>
      </c>
      <c r="B41" s="166" t="s">
        <v>1087</v>
      </c>
      <c r="C41" s="170" t="s">
        <v>1561</v>
      </c>
      <c r="D41" s="213"/>
      <c r="E41" s="166" t="s">
        <v>1058</v>
      </c>
      <c r="F41" s="166" t="s">
        <v>1562</v>
      </c>
      <c r="G41" s="166" t="s">
        <v>12764</v>
      </c>
      <c r="H41" s="167">
        <v>0</v>
      </c>
      <c r="I41" s="168" t="s">
        <v>2402</v>
      </c>
      <c r="J41" s="168" t="s">
        <v>13130</v>
      </c>
      <c r="K41" s="207"/>
      <c r="L41" s="207"/>
      <c r="M41" s="207"/>
      <c r="N41" s="207"/>
      <c r="O41" s="207"/>
      <c r="P41" s="169" t="s">
        <v>474</v>
      </c>
      <c r="Q41" s="208"/>
      <c r="R41" s="166" t="str">
        <f ca="1">IF(ISERROR($V41),"",OFFSET('Smelter Look-up'!$C$4,$V41-4,0)&amp;"")</f>
        <v>Metalor Technologies (Suzhou) Ltd.</v>
      </c>
      <c r="S41" s="165" t="str">
        <f t="shared" ca="1" si="5"/>
        <v>CN</v>
      </c>
      <c r="T41" s="165" t="str">
        <f ca="1">IF(B41="","",IF(ISERROR(MATCH($J41,SorP!$B$1:$B$6261,0)),"",INDIRECT("'SorP'!$A$"&amp;MATCH($S41&amp;$J41,SorP!C:C,0))))</f>
        <v>CN-JS</v>
      </c>
      <c r="U41" s="185"/>
      <c r="V41" s="209">
        <f>IF(C41="",NA(),IF(OR(C41="Smelter not listed",C41="Smelter not yet identified"),MATCH($B41&amp;$D41,'Smelter Look-up'!$J:$J,0),MATCH($B41&amp;$C41,'Smelter Look-up'!$J:$J,0)))</f>
        <v>195</v>
      </c>
      <c r="X41" s="210">
        <f t="shared" si="6"/>
        <v>0</v>
      </c>
      <c r="AB41" s="211" t="str">
        <f t="shared" si="7"/>
        <v>GoldMetalor Technologies (Suzhou) Ltd.</v>
      </c>
    </row>
    <row r="42" spans="1:28" s="210" customFormat="1" ht="89.25">
      <c r="A42" s="165" t="s">
        <v>677</v>
      </c>
      <c r="B42" s="166" t="s">
        <v>1087</v>
      </c>
      <c r="C42" s="170" t="s">
        <v>2058</v>
      </c>
      <c r="D42" s="213"/>
      <c r="E42" s="166" t="s">
        <v>1058</v>
      </c>
      <c r="F42" s="166" t="s">
        <v>677</v>
      </c>
      <c r="G42" s="166" t="s">
        <v>12764</v>
      </c>
      <c r="H42" s="167">
        <v>0</v>
      </c>
      <c r="I42" s="168" t="s">
        <v>15901</v>
      </c>
      <c r="J42" s="168" t="s">
        <v>15158</v>
      </c>
      <c r="K42" s="207"/>
      <c r="L42" s="207"/>
      <c r="M42" s="207"/>
      <c r="N42" s="207"/>
      <c r="O42" s="207"/>
      <c r="P42" s="169" t="s">
        <v>474</v>
      </c>
      <c r="Q42" s="208"/>
      <c r="R42" s="166" t="str">
        <f ca="1">IF(ISERROR($V42),"",OFFSET('Smelter Look-up'!$C$4,$V42-4,0)&amp;"")</f>
        <v>Metalor Technologies (Hong Kong) Ltd.</v>
      </c>
      <c r="S42" s="165" t="str">
        <f t="shared" ca="1" si="5"/>
        <v>CN</v>
      </c>
      <c r="T42" s="165" t="str">
        <f ca="1">IF(B42="","",IF(ISERROR(MATCH($J42,SorP!$B$1:$B$6261,0)),"",INDIRECT("'SorP'!$A$"&amp;MATCH($S42&amp;$J42,SorP!C:C,0))))</f>
        <v/>
      </c>
      <c r="U42" s="185"/>
      <c r="V42" s="209">
        <f>IF(C42="",NA(),IF(OR(C42="Smelter not listed",C42="Smelter not yet identified"),MATCH($B42&amp;$D42,'Smelter Look-up'!$J:$J,0),MATCH($B42&amp;$C42,'Smelter Look-up'!$J:$J,0)))</f>
        <v>193</v>
      </c>
      <c r="X42" s="210">
        <f t="shared" si="6"/>
        <v>0</v>
      </c>
      <c r="AB42" s="211" t="str">
        <f t="shared" si="7"/>
        <v>GoldMetalor Technologies (Hong Kong) Ltd.</v>
      </c>
    </row>
    <row r="43" spans="1:28" s="210" customFormat="1" ht="102">
      <c r="A43" s="165" t="s">
        <v>678</v>
      </c>
      <c r="B43" s="166" t="s">
        <v>1087</v>
      </c>
      <c r="C43" s="170" t="s">
        <v>2059</v>
      </c>
      <c r="D43" s="213"/>
      <c r="E43" s="166" t="s">
        <v>846</v>
      </c>
      <c r="F43" s="166" t="s">
        <v>678</v>
      </c>
      <c r="G43" s="166" t="s">
        <v>12764</v>
      </c>
      <c r="H43" s="167">
        <v>0</v>
      </c>
      <c r="I43" s="168" t="s">
        <v>12274</v>
      </c>
      <c r="J43" s="168" t="s">
        <v>9870</v>
      </c>
      <c r="K43" s="207"/>
      <c r="L43" s="207"/>
      <c r="M43" s="207"/>
      <c r="N43" s="207"/>
      <c r="O43" s="207"/>
      <c r="P43" s="169" t="s">
        <v>474</v>
      </c>
      <c r="Q43" s="208"/>
      <c r="R43" s="166" t="str">
        <f ca="1">IF(ISERROR($V43),"",OFFSET('Smelter Look-up'!$C$4,$V43-4,0)&amp;"")</f>
        <v>Metalor Technologies (Singapore) Pte., Ltd.</v>
      </c>
      <c r="S43" s="165" t="str">
        <f t="shared" ca="1" si="5"/>
        <v>SG</v>
      </c>
      <c r="T43" s="165" t="str">
        <f ca="1">IF(B43="","",IF(ISERROR(MATCH($J43,SorP!$B$1:$B$6261,0)),"",INDIRECT("'SorP'!$A$"&amp;MATCH($S43&amp;$J43,SorP!C:C,0))))</f>
        <v>SG-05</v>
      </c>
      <c r="U43" s="185"/>
      <c r="V43" s="209">
        <f>IF(C43="",NA(),IF(OR(C43="Smelter not listed",C43="Smelter not yet identified"),MATCH($B43&amp;$D43,'Smelter Look-up'!$J:$J,0),MATCH($B43&amp;$C43,'Smelter Look-up'!$J:$J,0)))</f>
        <v>194</v>
      </c>
      <c r="X43" s="210">
        <f t="shared" si="6"/>
        <v>0</v>
      </c>
      <c r="AB43" s="211" t="str">
        <f t="shared" si="7"/>
        <v>GoldMetalor Technologies (Singapore) Pte., Ltd.</v>
      </c>
    </row>
    <row r="44" spans="1:28" s="210" customFormat="1" ht="63.75">
      <c r="A44" s="165" t="s">
        <v>679</v>
      </c>
      <c r="B44" s="166" t="s">
        <v>1087</v>
      </c>
      <c r="C44" s="170" t="s">
        <v>2201</v>
      </c>
      <c r="D44" s="213"/>
      <c r="E44" s="166" t="s">
        <v>1056</v>
      </c>
      <c r="F44" s="166" t="s">
        <v>679</v>
      </c>
      <c r="G44" s="166" t="s">
        <v>12764</v>
      </c>
      <c r="H44" s="167">
        <v>0</v>
      </c>
      <c r="I44" s="168" t="s">
        <v>1563</v>
      </c>
      <c r="J44" s="168" t="s">
        <v>1564</v>
      </c>
      <c r="K44" s="207"/>
      <c r="L44" s="207"/>
      <c r="M44" s="207"/>
      <c r="N44" s="207"/>
      <c r="O44" s="207"/>
      <c r="P44" s="169" t="s">
        <v>474</v>
      </c>
      <c r="Q44" s="208"/>
      <c r="R44" s="166" t="str">
        <f ca="1">IF(ISERROR($V44),"",OFFSET('Smelter Look-up'!$C$4,$V44-4,0)&amp;"")</f>
        <v>Metalor Technologies S.A.</v>
      </c>
      <c r="S44" s="165" t="str">
        <f t="shared" ca="1" si="5"/>
        <v>CH</v>
      </c>
      <c r="T44" s="165" t="str">
        <f ca="1">IF(B44="","",IF(ISERROR(MATCH($J44,SorP!$B$1:$B$6261,0)),"",INDIRECT("'SorP'!$A$"&amp;MATCH($S44&amp;$J44,SorP!C:C,0))))</f>
        <v>CH-NE</v>
      </c>
      <c r="U44" s="185"/>
      <c r="V44" s="209">
        <f>IF(C44="",NA(),IF(OR(C44="Smelter not listed",C44="Smelter not yet identified"),MATCH($B44&amp;$D44,'Smelter Look-up'!$J:$J,0),MATCH($B44&amp;$C44,'Smelter Look-up'!$J:$J,0)))</f>
        <v>196</v>
      </c>
      <c r="X44" s="210">
        <f t="shared" si="6"/>
        <v>0</v>
      </c>
      <c r="AB44" s="211" t="str">
        <f t="shared" si="7"/>
        <v>GoldMetalor Technologies S.A.</v>
      </c>
    </row>
    <row r="45" spans="1:28" s="210" customFormat="1" ht="63.75">
      <c r="A45" s="165" t="s">
        <v>680</v>
      </c>
      <c r="B45" s="166" t="s">
        <v>1087</v>
      </c>
      <c r="C45" s="170" t="s">
        <v>1183</v>
      </c>
      <c r="D45" s="213"/>
      <c r="E45" s="166" t="s">
        <v>2323</v>
      </c>
      <c r="F45" s="166" t="s">
        <v>680</v>
      </c>
      <c r="G45" s="166" t="s">
        <v>12764</v>
      </c>
      <c r="H45" s="167">
        <v>0</v>
      </c>
      <c r="I45" s="168" t="s">
        <v>1565</v>
      </c>
      <c r="J45" s="168" t="s">
        <v>1566</v>
      </c>
      <c r="K45" s="207"/>
      <c r="L45" s="207"/>
      <c r="M45" s="207"/>
      <c r="N45" s="207"/>
      <c r="O45" s="207"/>
      <c r="P45" s="169" t="s">
        <v>474</v>
      </c>
      <c r="Q45" s="208"/>
      <c r="R45" s="166" t="str">
        <f ca="1">IF(ISERROR($V45),"",OFFSET('Smelter Look-up'!$C$4,$V45-4,0)&amp;"")</f>
        <v>Metalor USA Refining Corporation</v>
      </c>
      <c r="S45" s="165" t="str">
        <f t="shared" ca="1" si="5"/>
        <v>US</v>
      </c>
      <c r="T45" s="165" t="str">
        <f ca="1">IF(B45="","",IF(ISERROR(MATCH($J45,SorP!$B$1:$B$6261,0)),"",INDIRECT("'SorP'!$A$"&amp;MATCH($S45&amp;$J45,SorP!C:C,0))))</f>
        <v>US-MA</v>
      </c>
      <c r="U45" s="185"/>
      <c r="V45" s="209">
        <f>IF(C45="",NA(),IF(OR(C45="Smelter not listed",C45="Smelter not yet identified"),MATCH($B45&amp;$D45,'Smelter Look-up'!$J:$J,0),MATCH($B45&amp;$C45,'Smelter Look-up'!$J:$J,0)))</f>
        <v>197</v>
      </c>
      <c r="X45" s="210">
        <f t="shared" si="6"/>
        <v>0</v>
      </c>
      <c r="AB45" s="211" t="str">
        <f t="shared" si="7"/>
        <v>GoldMetalor USA Refining Corporation</v>
      </c>
    </row>
    <row r="46" spans="1:28" s="210" customFormat="1" ht="89.25">
      <c r="A46" s="165" t="s">
        <v>681</v>
      </c>
      <c r="B46" s="166" t="s">
        <v>1087</v>
      </c>
      <c r="C46" s="170" t="s">
        <v>11980</v>
      </c>
      <c r="D46" s="213"/>
      <c r="E46" s="166" t="s">
        <v>1071</v>
      </c>
      <c r="F46" s="166" t="s">
        <v>681</v>
      </c>
      <c r="G46" s="166" t="s">
        <v>12764</v>
      </c>
      <c r="H46" s="167">
        <v>0</v>
      </c>
      <c r="I46" s="168" t="s">
        <v>1567</v>
      </c>
      <c r="J46" s="168" t="s">
        <v>12427</v>
      </c>
      <c r="K46" s="207"/>
      <c r="L46" s="207"/>
      <c r="M46" s="207"/>
      <c r="N46" s="207"/>
      <c r="O46" s="207"/>
      <c r="P46" s="169" t="s">
        <v>474</v>
      </c>
      <c r="Q46" s="208"/>
      <c r="R46" s="166" t="str">
        <f ca="1">IF(ISERROR($V46),"",OFFSET('Smelter Look-up'!$C$4,$V46-4,0)&amp;"")</f>
        <v>Metalurgica Met-Mex Penoles S.A. De C.V.</v>
      </c>
      <c r="S46" s="165" t="str">
        <f t="shared" ca="1" si="5"/>
        <v>MX</v>
      </c>
      <c r="T46" s="165" t="str">
        <f ca="1">IF(B46="","",IF(ISERROR(MATCH($J46,SorP!$B$1:$B$6261,0)),"",INDIRECT("'SorP'!$A$"&amp;MATCH($S46&amp;$J46,SorP!C:C,0))))</f>
        <v>MX-COA</v>
      </c>
      <c r="U46" s="185"/>
      <c r="V46" s="209">
        <f>IF(C46="",NA(),IF(OR(C46="Smelter not listed",C46="Smelter not yet identified"),MATCH($B46&amp;$D46,'Smelter Look-up'!$J:$J,0),MATCH($B46&amp;$C46,'Smelter Look-up'!$J:$J,0)))</f>
        <v>198</v>
      </c>
      <c r="X46" s="210">
        <f t="shared" si="6"/>
        <v>0</v>
      </c>
      <c r="AB46" s="211" t="str">
        <f t="shared" si="7"/>
        <v>GoldMetalurgica Met-Mex Penoles S.A. De C.V.</v>
      </c>
    </row>
    <row r="47" spans="1:28" s="210" customFormat="1" ht="76.5">
      <c r="A47" s="165" t="s">
        <v>682</v>
      </c>
      <c r="B47" s="166" t="s">
        <v>1087</v>
      </c>
      <c r="C47" s="170" t="s">
        <v>1120</v>
      </c>
      <c r="D47" s="213"/>
      <c r="E47" s="166" t="s">
        <v>1066</v>
      </c>
      <c r="F47" s="166" t="s">
        <v>682</v>
      </c>
      <c r="G47" s="166" t="s">
        <v>12764</v>
      </c>
      <c r="H47" s="167">
        <v>0</v>
      </c>
      <c r="I47" s="168" t="s">
        <v>1497</v>
      </c>
      <c r="J47" s="168" t="s">
        <v>1497</v>
      </c>
      <c r="K47" s="207"/>
      <c r="L47" s="207"/>
      <c r="M47" s="207"/>
      <c r="N47" s="207" t="s">
        <v>15902</v>
      </c>
      <c r="O47" s="207" t="s">
        <v>15903</v>
      </c>
      <c r="P47" s="169" t="s">
        <v>474</v>
      </c>
      <c r="Q47" s="208"/>
      <c r="R47" s="166" t="str">
        <f ca="1">IF(ISERROR($V47),"",OFFSET('Smelter Look-up'!$C$4,$V47-4,0)&amp;"")</f>
        <v>Mitsubishi Materials Corporation</v>
      </c>
      <c r="S47" s="165" t="str">
        <f t="shared" ca="1" si="5"/>
        <v>JP</v>
      </c>
      <c r="T47" s="165" t="str">
        <f ca="1">IF(B47="","",IF(ISERROR(MATCH($J47,SorP!$B$1:$B$6261,0)),"",INDIRECT("'SorP'!$A$"&amp;MATCH($S47&amp;$J47,SorP!C:C,0))))</f>
        <v>JP-13</v>
      </c>
      <c r="U47" s="185"/>
      <c r="V47" s="209">
        <f>IF(C47="",NA(),IF(OR(C47="Smelter not listed",C47="Smelter not yet identified"),MATCH($B47&amp;$D47,'Smelter Look-up'!$J:$J,0),MATCH($B47&amp;$C47,'Smelter Look-up'!$J:$J,0)))</f>
        <v>204</v>
      </c>
      <c r="X47" s="210">
        <f t="shared" si="6"/>
        <v>0</v>
      </c>
      <c r="AB47" s="211" t="str">
        <f t="shared" si="7"/>
        <v>GoldMitsubishi Materials Corporation</v>
      </c>
    </row>
    <row r="48" spans="1:28" s="210" customFormat="1" ht="89.25">
      <c r="A48" s="165" t="s">
        <v>683</v>
      </c>
      <c r="B48" s="166" t="s">
        <v>1087</v>
      </c>
      <c r="C48" s="170" t="s">
        <v>1184</v>
      </c>
      <c r="D48" s="213"/>
      <c r="E48" s="166" t="s">
        <v>1066</v>
      </c>
      <c r="F48" s="166" t="s">
        <v>683</v>
      </c>
      <c r="G48" s="166" t="s">
        <v>12764</v>
      </c>
      <c r="H48" s="167">
        <v>0</v>
      </c>
      <c r="I48" s="168" t="s">
        <v>1569</v>
      </c>
      <c r="J48" s="168" t="s">
        <v>1568</v>
      </c>
      <c r="K48" s="207"/>
      <c r="L48" s="207"/>
      <c r="M48" s="207"/>
      <c r="N48" s="207" t="s">
        <v>15897</v>
      </c>
      <c r="O48" s="207" t="s">
        <v>15898</v>
      </c>
      <c r="P48" s="169" t="s">
        <v>474</v>
      </c>
      <c r="Q48" s="208"/>
      <c r="R48" s="166" t="str">
        <f ca="1">IF(ISERROR($V48),"",OFFSET('Smelter Look-up'!$C$4,$V48-4,0)&amp;"")</f>
        <v>Mitsui Mining and Smelting Co., Ltd.</v>
      </c>
      <c r="S48" s="165" t="str">
        <f t="shared" ca="1" si="5"/>
        <v>JP</v>
      </c>
      <c r="T48" s="165" t="str">
        <f ca="1">IF(B48="","",IF(ISERROR(MATCH($J48,SorP!$B$1:$B$6261,0)),"",INDIRECT("'SorP'!$A$"&amp;MATCH($S48&amp;$J48,SorP!C:C,0))))</f>
        <v>JP-34</v>
      </c>
      <c r="U48" s="185"/>
      <c r="V48" s="209">
        <f>IF(C48="",NA(),IF(OR(C48="Smelter not listed",C48="Smelter not yet identified"),MATCH($B48&amp;$D48,'Smelter Look-up'!$J:$J,0),MATCH($B48&amp;$C48,'Smelter Look-up'!$J:$J,0)))</f>
        <v>206</v>
      </c>
      <c r="X48" s="210">
        <f t="shared" si="6"/>
        <v>0</v>
      </c>
      <c r="AB48" s="211" t="str">
        <f t="shared" si="7"/>
        <v>GoldMitsui Mining and Smelting Co., Ltd.</v>
      </c>
    </row>
    <row r="49" spans="1:28" s="210" customFormat="1" ht="76.5">
      <c r="A49" s="165" t="s">
        <v>685</v>
      </c>
      <c r="B49" s="166" t="s">
        <v>1087</v>
      </c>
      <c r="C49" s="170" t="s">
        <v>11982</v>
      </c>
      <c r="D49" s="213"/>
      <c r="E49" s="166" t="s">
        <v>849</v>
      </c>
      <c r="F49" s="166" t="s">
        <v>685</v>
      </c>
      <c r="G49" s="166" t="s">
        <v>12764</v>
      </c>
      <c r="H49" s="167">
        <v>0</v>
      </c>
      <c r="I49" s="168" t="s">
        <v>15904</v>
      </c>
      <c r="J49" s="168" t="s">
        <v>10828</v>
      </c>
      <c r="K49" s="207"/>
      <c r="L49" s="207"/>
      <c r="M49" s="207"/>
      <c r="N49" s="207"/>
      <c r="O49" s="207"/>
      <c r="P49" s="169" t="s">
        <v>474</v>
      </c>
      <c r="Q49" s="208"/>
      <c r="R49" s="166" t="str">
        <f ca="1">IF(ISERROR($V49),"",OFFSET('Smelter Look-up'!$C$4,$V49-4,0)&amp;"")</f>
        <v>Nadir Metal Rafineri San. Ve Tic. A.S.</v>
      </c>
      <c r="S49" s="165" t="str">
        <f t="shared" ca="1" si="5"/>
        <v>Unknown</v>
      </c>
      <c r="T49" s="165" t="e">
        <f ca="1">IF(B49="","",IF(ISERROR(MATCH($J49,SorP!$B$1:$B$6261,0)),"",INDIRECT("'SorP'!$A$"&amp;MATCH($S49&amp;$J49,SorP!C:C,0))))</f>
        <v>#N/A</v>
      </c>
      <c r="U49" s="185"/>
      <c r="V49" s="209">
        <f>IF(C49="",NA(),IF(OR(C49="Smelter not listed",C49="Smelter not yet identified"),MATCH($B49&amp;$D49,'Smelter Look-up'!$J:$J,0),MATCH($B49&amp;$C49,'Smelter Look-up'!$J:$J,0)))</f>
        <v>212</v>
      </c>
      <c r="X49" s="210">
        <f t="shared" si="6"/>
        <v>0</v>
      </c>
      <c r="AB49" s="211" t="str">
        <f t="shared" si="7"/>
        <v>GoldNadir Metal Rafineri San. Ve Tic. A.S.</v>
      </c>
    </row>
    <row r="50" spans="1:28" s="210" customFormat="1" ht="102">
      <c r="A50" s="165" t="s">
        <v>686</v>
      </c>
      <c r="B50" s="166" t="s">
        <v>1087</v>
      </c>
      <c r="C50" s="170" t="s">
        <v>1185</v>
      </c>
      <c r="D50" s="213"/>
      <c r="E50" s="166" t="s">
        <v>851</v>
      </c>
      <c r="F50" s="166" t="s">
        <v>686</v>
      </c>
      <c r="G50" s="166" t="s">
        <v>12764</v>
      </c>
      <c r="H50" s="167">
        <v>0</v>
      </c>
      <c r="I50" s="168" t="s">
        <v>1572</v>
      </c>
      <c r="J50" s="168" t="s">
        <v>11578</v>
      </c>
      <c r="K50" s="207"/>
      <c r="L50" s="207"/>
      <c r="M50" s="207"/>
      <c r="N50" s="207"/>
      <c r="O50" s="207"/>
      <c r="P50" s="169" t="s">
        <v>474</v>
      </c>
      <c r="Q50" s="208"/>
      <c r="R50" s="166" t="str">
        <f ca="1">IF(ISERROR($V50),"",OFFSET('Smelter Look-up'!$C$4,$V50-4,0)&amp;"")</f>
        <v>Navoi Mining and Metallurgical Combinat</v>
      </c>
      <c r="S50" s="165" t="str">
        <f t="shared" ca="1" si="5"/>
        <v>UZ</v>
      </c>
      <c r="T50" s="165" t="str">
        <f ca="1">IF(B50="","",IF(ISERROR(MATCH($J50,SorP!$B$1:$B$6261,0)),"",INDIRECT("'SorP'!$A$"&amp;MATCH($S50&amp;$J50,SorP!C:C,0))))</f>
        <v>UZ-NW</v>
      </c>
      <c r="U50" s="185"/>
      <c r="V50" s="209">
        <f>IF(C50="",NA(),IF(OR(C50="Smelter not listed",C50="Smelter not yet identified"),MATCH($B50&amp;$D50,'Smelter Look-up'!$J:$J,0),MATCH($B50&amp;$C50,'Smelter Look-up'!$J:$J,0)))</f>
        <v>215</v>
      </c>
      <c r="X50" s="210">
        <f t="shared" si="6"/>
        <v>0</v>
      </c>
      <c r="AB50" s="211" t="str">
        <f t="shared" si="7"/>
        <v>GoldNavoi Mining and Metallurgical Combinat</v>
      </c>
    </row>
    <row r="51" spans="1:28" s="210" customFormat="1" ht="63.75">
      <c r="A51" s="165" t="s">
        <v>687</v>
      </c>
      <c r="B51" s="166" t="s">
        <v>1087</v>
      </c>
      <c r="C51" s="170" t="s">
        <v>2062</v>
      </c>
      <c r="D51" s="213"/>
      <c r="E51" s="166" t="s">
        <v>1066</v>
      </c>
      <c r="F51" s="166" t="s">
        <v>687</v>
      </c>
      <c r="G51" s="166" t="s">
        <v>12764</v>
      </c>
      <c r="H51" s="167">
        <v>0</v>
      </c>
      <c r="I51" s="168" t="s">
        <v>1573</v>
      </c>
      <c r="J51" s="168" t="s">
        <v>1574</v>
      </c>
      <c r="K51" s="207"/>
      <c r="L51" s="207"/>
      <c r="M51" s="207"/>
      <c r="N51" s="207" t="s">
        <v>15891</v>
      </c>
      <c r="O51" s="207" t="s">
        <v>15891</v>
      </c>
      <c r="P51" s="169" t="s">
        <v>473</v>
      </c>
      <c r="Q51" s="208"/>
      <c r="R51" s="166" t="str">
        <f ca="1">IF(ISERROR($V51),"",OFFSET('Smelter Look-up'!$C$4,$V51-4,0)&amp;"")</f>
        <v>Nihon Material Co., Ltd.</v>
      </c>
      <c r="S51" s="165" t="str">
        <f t="shared" ca="1" si="5"/>
        <v>JP</v>
      </c>
      <c r="T51" s="165" t="str">
        <f ca="1">IF(B51="","",IF(ISERROR(MATCH($J51,SorP!$B$1:$B$6261,0)),"",INDIRECT("'SorP'!$A$"&amp;MATCH($S51&amp;$J51,SorP!C:C,0))))</f>
        <v>JP-12</v>
      </c>
      <c r="U51" s="185"/>
      <c r="V51" s="209">
        <f>IF(C51="",NA(),IF(OR(C51="Smelter not listed",C51="Smelter not yet identified"),MATCH($B51&amp;$D51,'Smelter Look-up'!$J:$J,0),MATCH($B51&amp;$C51,'Smelter Look-up'!$J:$J,0)))</f>
        <v>217</v>
      </c>
      <c r="X51" s="210">
        <f t="shared" si="6"/>
        <v>0</v>
      </c>
      <c r="AB51" s="211" t="str">
        <f t="shared" si="7"/>
        <v>GoldNihon Material Co., Ltd.</v>
      </c>
    </row>
    <row r="52" spans="1:28" s="210" customFormat="1" ht="89.25">
      <c r="A52" s="165" t="s">
        <v>688</v>
      </c>
      <c r="B52" s="166" t="s">
        <v>1087</v>
      </c>
      <c r="C52" s="170" t="s">
        <v>2063</v>
      </c>
      <c r="D52" s="213"/>
      <c r="E52" s="166" t="s">
        <v>1066</v>
      </c>
      <c r="F52" s="166" t="s">
        <v>688</v>
      </c>
      <c r="G52" s="166" t="s">
        <v>12764</v>
      </c>
      <c r="H52" s="167">
        <v>0</v>
      </c>
      <c r="I52" s="168" t="s">
        <v>1576</v>
      </c>
      <c r="J52" s="168" t="s">
        <v>1577</v>
      </c>
      <c r="K52" s="207"/>
      <c r="L52" s="207"/>
      <c r="M52" s="207"/>
      <c r="N52" s="207"/>
      <c r="O52" s="207"/>
      <c r="P52" s="169" t="s">
        <v>473</v>
      </c>
      <c r="Q52" s="208"/>
      <c r="R52" s="166" t="str">
        <f ca="1">IF(ISERROR($V52),"",OFFSET('Smelter Look-up'!$C$4,$V52-4,0)&amp;"")</f>
        <v>Ohura Precious Metal Industry Co., Ltd.</v>
      </c>
      <c r="S52" s="165" t="str">
        <f t="shared" ca="1" si="5"/>
        <v>JP</v>
      </c>
      <c r="T52" s="165" t="str">
        <f ca="1">IF(B52="","",IF(ISERROR(MATCH($J52,SorP!$B$1:$B$6261,0)),"",INDIRECT("'SorP'!$A$"&amp;MATCH($S52&amp;$J52,SorP!C:C,0))))</f>
        <v>JP-29</v>
      </c>
      <c r="U52" s="185"/>
      <c r="V52" s="209">
        <f>IF(C52="",NA(),IF(OR(C52="Smelter not listed",C52="Smelter not yet identified"),MATCH($B52&amp;$D52,'Smelter Look-up'!$J:$J,0),MATCH($B52&amp;$C52,'Smelter Look-up'!$J:$J,0)))</f>
        <v>224</v>
      </c>
      <c r="X52" s="210">
        <f t="shared" si="6"/>
        <v>0</v>
      </c>
      <c r="AB52" s="211" t="str">
        <f t="shared" si="7"/>
        <v>GoldOhura Precious Metal Industry Co., Ltd.</v>
      </c>
    </row>
    <row r="53" spans="1:28" s="210" customFormat="1" ht="76.5">
      <c r="A53" s="165" t="s">
        <v>693</v>
      </c>
      <c r="B53" s="166" t="s">
        <v>1087</v>
      </c>
      <c r="C53" s="170" t="s">
        <v>1186</v>
      </c>
      <c r="D53" s="213"/>
      <c r="E53" s="166" t="s">
        <v>1063</v>
      </c>
      <c r="F53" s="166" t="s">
        <v>693</v>
      </c>
      <c r="G53" s="166" t="s">
        <v>12764</v>
      </c>
      <c r="H53" s="167">
        <v>0</v>
      </c>
      <c r="I53" s="168" t="s">
        <v>1581</v>
      </c>
      <c r="J53" s="168" t="s">
        <v>5835</v>
      </c>
      <c r="K53" s="207"/>
      <c r="L53" s="207"/>
      <c r="M53" s="207"/>
      <c r="N53" s="207"/>
      <c r="O53" s="207"/>
      <c r="P53" s="169" t="s">
        <v>474</v>
      </c>
      <c r="Q53" s="208"/>
      <c r="R53" s="166" t="str">
        <f ca="1">IF(ISERROR($V53),"",OFFSET('Smelter Look-up'!$C$4,$V53-4,0)&amp;"")</f>
        <v>PT Aneka Tambang (Persero) Tbk</v>
      </c>
      <c r="S53" s="165" t="str">
        <f t="shared" ca="1" si="5"/>
        <v>ID</v>
      </c>
      <c r="T53" s="165" t="str">
        <f ca="1">IF(B53="","",IF(ISERROR(MATCH($J53,SorP!$B$1:$B$6261,0)),"",INDIRECT("'SorP'!$A$"&amp;MATCH($S53&amp;$J53,SorP!C:C,0))))</f>
        <v>ID-JK</v>
      </c>
      <c r="U53" s="185"/>
      <c r="V53" s="209">
        <f>IF(C53="",NA(),IF(OR(C53="Smelter not listed",C53="Smelter not yet identified"),MATCH($B53&amp;$D53,'Smelter Look-up'!$J:$J,0),MATCH($B53&amp;$C53,'Smelter Look-up'!$J:$J,0)))</f>
        <v>237</v>
      </c>
      <c r="X53" s="210">
        <f t="shared" si="6"/>
        <v>0</v>
      </c>
      <c r="AB53" s="211" t="str">
        <f t="shared" si="7"/>
        <v>GoldPT Aneka Tambang (Persero) Tbk</v>
      </c>
    </row>
    <row r="54" spans="1:28" s="210" customFormat="1" ht="38.25">
      <c r="A54" s="165" t="s">
        <v>694</v>
      </c>
      <c r="B54" s="166" t="s">
        <v>1087</v>
      </c>
      <c r="C54" s="170" t="s">
        <v>11983</v>
      </c>
      <c r="D54" s="213"/>
      <c r="E54" s="166" t="s">
        <v>1056</v>
      </c>
      <c r="F54" s="166" t="s">
        <v>694</v>
      </c>
      <c r="G54" s="166" t="s">
        <v>12764</v>
      </c>
      <c r="H54" s="167">
        <v>0</v>
      </c>
      <c r="I54" s="168" t="s">
        <v>1582</v>
      </c>
      <c r="J54" s="168" t="s">
        <v>1564</v>
      </c>
      <c r="K54" s="207"/>
      <c r="L54" s="207"/>
      <c r="M54" s="207"/>
      <c r="N54" s="207"/>
      <c r="O54" s="207"/>
      <c r="P54" s="169" t="s">
        <v>474</v>
      </c>
      <c r="Q54" s="208"/>
      <c r="R54" s="166" t="str">
        <f ca="1">IF(ISERROR($V54),"",OFFSET('Smelter Look-up'!$C$4,$V54-4,0)&amp;"")</f>
        <v>PX Precinox S.A.</v>
      </c>
      <c r="S54" s="165" t="str">
        <f t="shared" ca="1" si="5"/>
        <v>CH</v>
      </c>
      <c r="T54" s="165" t="str">
        <f ca="1">IF(B54="","",IF(ISERROR(MATCH($J54,SorP!$B$1:$B$6261,0)),"",INDIRECT("'SorP'!$A$"&amp;MATCH($S54&amp;$J54,SorP!C:C,0))))</f>
        <v>CH-NE</v>
      </c>
      <c r="U54" s="185"/>
      <c r="V54" s="209">
        <f>IF(C54="",NA(),IF(OR(C54="Smelter not listed",C54="Smelter not yet identified"),MATCH($B54&amp;$D54,'Smelter Look-up'!$J:$J,0),MATCH($B54&amp;$C54,'Smelter Look-up'!$J:$J,0)))</f>
        <v>238</v>
      </c>
      <c r="X54" s="210">
        <f t="shared" si="6"/>
        <v>0</v>
      </c>
      <c r="AB54" s="211" t="str">
        <f t="shared" si="7"/>
        <v>GoldPX Precinox S.A.</v>
      </c>
    </row>
    <row r="55" spans="1:28" s="210" customFormat="1" ht="63.75">
      <c r="A55" s="165" t="s">
        <v>695</v>
      </c>
      <c r="B55" s="166" t="s">
        <v>1087</v>
      </c>
      <c r="C55" s="170" t="s">
        <v>2065</v>
      </c>
      <c r="D55" s="213"/>
      <c r="E55" s="166" t="s">
        <v>853</v>
      </c>
      <c r="F55" s="166" t="s">
        <v>695</v>
      </c>
      <c r="G55" s="166" t="s">
        <v>12764</v>
      </c>
      <c r="H55" s="167">
        <v>0</v>
      </c>
      <c r="I55" s="168" t="s">
        <v>1583</v>
      </c>
      <c r="J55" s="168" t="s">
        <v>1584</v>
      </c>
      <c r="K55" s="207"/>
      <c r="L55" s="207"/>
      <c r="M55" s="207"/>
      <c r="N55" s="207"/>
      <c r="O55" s="207"/>
      <c r="P55" s="169" t="s">
        <v>474</v>
      </c>
      <c r="Q55" s="208"/>
      <c r="R55" s="166" t="str">
        <f ca="1">IF(ISERROR($V55),"",OFFSET('Smelter Look-up'!$C$4,$V55-4,0)&amp;"")</f>
        <v>Rand Refinery (Pty) Ltd.</v>
      </c>
      <c r="S55" s="165" t="str">
        <f t="shared" ca="1" si="5"/>
        <v>ZA</v>
      </c>
      <c r="T55" s="165" t="str">
        <f ca="1">IF(B55="","",IF(ISERROR(MATCH($J55,SorP!$B$1:$B$6261,0)),"",INDIRECT("'SorP'!$A$"&amp;MATCH($S55&amp;$J55,SorP!C:C,0))))</f>
        <v>ZA-GP</v>
      </c>
      <c r="U55" s="185"/>
      <c r="V55" s="209">
        <f>IF(C55="",NA(),IF(OR(C55="Smelter not listed",C55="Smelter not yet identified"),MATCH($B55&amp;$D55,'Smelter Look-up'!$J:$J,0),MATCH($B55&amp;$C55,'Smelter Look-up'!$J:$J,0)))</f>
        <v>241</v>
      </c>
      <c r="X55" s="210">
        <f t="shared" si="6"/>
        <v>0</v>
      </c>
      <c r="AB55" s="211" t="str">
        <f t="shared" si="7"/>
        <v>GoldRand Refinery (Pty) Ltd.</v>
      </c>
    </row>
    <row r="56" spans="1:28" s="210" customFormat="1" ht="51">
      <c r="A56" s="165" t="s">
        <v>696</v>
      </c>
      <c r="B56" s="166" t="s">
        <v>1087</v>
      </c>
      <c r="C56" s="170" t="s">
        <v>873</v>
      </c>
      <c r="D56" s="213"/>
      <c r="E56" s="166" t="s">
        <v>1055</v>
      </c>
      <c r="F56" s="166" t="s">
        <v>696</v>
      </c>
      <c r="G56" s="166" t="s">
        <v>12764</v>
      </c>
      <c r="H56" s="167">
        <v>0</v>
      </c>
      <c r="I56" s="168" t="s">
        <v>1585</v>
      </c>
      <c r="J56" s="168" t="s">
        <v>1549</v>
      </c>
      <c r="K56" s="207"/>
      <c r="L56" s="207"/>
      <c r="M56" s="207"/>
      <c r="N56" s="207"/>
      <c r="O56" s="207"/>
      <c r="P56" s="169" t="s">
        <v>474</v>
      </c>
      <c r="Q56" s="208"/>
      <c r="R56" s="166" t="str">
        <f ca="1">IF(ISERROR($V56),"",OFFSET('Smelter Look-up'!$C$4,$V56-4,0)&amp;"")</f>
        <v>Royal Canadian Mint</v>
      </c>
      <c r="S56" s="165" t="str">
        <f t="shared" ca="1" si="5"/>
        <v>CA</v>
      </c>
      <c r="T56" s="165" t="str">
        <f ca="1">IF(B56="","",IF(ISERROR(MATCH($J56,SorP!$B$1:$B$6261,0)),"",INDIRECT("'SorP'!$A$"&amp;MATCH($S56&amp;$J56,SorP!C:C,0))))</f>
        <v>CA-ON</v>
      </c>
      <c r="U56" s="185"/>
      <c r="V56" s="209">
        <f>IF(C56="",NA(),IF(OR(C56="Smelter not listed",C56="Smelter not yet identified"),MATCH($B56&amp;$D56,'Smelter Look-up'!$J:$J,0),MATCH($B56&amp;$C56,'Smelter Look-up'!$J:$J,0)))</f>
        <v>245</v>
      </c>
      <c r="X56" s="210">
        <f t="shared" si="6"/>
        <v>0</v>
      </c>
      <c r="AB56" s="211" t="str">
        <f t="shared" si="7"/>
        <v>GoldRoyal Canadian Mint</v>
      </c>
    </row>
    <row r="57" spans="1:28" s="210" customFormat="1" ht="63.75">
      <c r="A57" s="165" t="s">
        <v>699</v>
      </c>
      <c r="B57" s="166" t="s">
        <v>1087</v>
      </c>
      <c r="C57" s="170" t="s">
        <v>11984</v>
      </c>
      <c r="D57" s="213"/>
      <c r="E57" s="166" t="s">
        <v>1060</v>
      </c>
      <c r="F57" s="166" t="s">
        <v>699</v>
      </c>
      <c r="G57" s="166" t="s">
        <v>12764</v>
      </c>
      <c r="H57" s="167">
        <v>0</v>
      </c>
      <c r="I57" s="168" t="s">
        <v>1590</v>
      </c>
      <c r="J57" s="168" t="s">
        <v>4544</v>
      </c>
      <c r="K57" s="207"/>
      <c r="L57" s="207"/>
      <c r="M57" s="207"/>
      <c r="N57" s="207"/>
      <c r="O57" s="207"/>
      <c r="P57" s="169" t="s">
        <v>475</v>
      </c>
      <c r="Q57" s="208"/>
      <c r="R57" s="166" t="str">
        <f ca="1">IF(ISERROR($V57),"",OFFSET('Smelter Look-up'!$C$4,$V57-4,0)&amp;"")</f>
        <v>SEMPSA Joyeria Plateria S.A.</v>
      </c>
      <c r="S57" s="165" t="str">
        <f t="shared" ca="1" si="5"/>
        <v>ES</v>
      </c>
      <c r="T57" s="165" t="str">
        <f ca="1">IF(B57="","",IF(ISERROR(MATCH($J57,SorP!$B$1:$B$6261,0)),"",INDIRECT("'SorP'!$A$"&amp;MATCH($S57&amp;$J57,SorP!C:C,0))))</f>
        <v>ES-MD</v>
      </c>
      <c r="U57" s="185"/>
      <c r="V57" s="209">
        <f>IF(C57="",NA(),IF(OR(C57="Smelter not listed",C57="Smelter not yet identified"),MATCH($B57&amp;$D57,'Smelter Look-up'!$J:$J,0),MATCH($B57&amp;$C57,'Smelter Look-up'!$J:$J,0)))</f>
        <v>258</v>
      </c>
      <c r="X57" s="210">
        <f t="shared" si="6"/>
        <v>0</v>
      </c>
      <c r="AB57" s="211" t="str">
        <f t="shared" si="7"/>
        <v>GoldSEMPSA Joyeria Plateria S.A.</v>
      </c>
    </row>
    <row r="58" spans="1:28" s="210" customFormat="1" ht="89.25">
      <c r="A58" s="165" t="s">
        <v>1345</v>
      </c>
      <c r="B58" s="166" t="s">
        <v>1087</v>
      </c>
      <c r="C58" s="170" t="s">
        <v>2068</v>
      </c>
      <c r="D58" s="213"/>
      <c r="E58" s="166" t="s">
        <v>1058</v>
      </c>
      <c r="F58" s="166" t="s">
        <v>1345</v>
      </c>
      <c r="G58" s="166" t="s">
        <v>12764</v>
      </c>
      <c r="H58" s="167">
        <v>0</v>
      </c>
      <c r="I58" s="168" t="s">
        <v>1598</v>
      </c>
      <c r="J58" s="168" t="s">
        <v>13124</v>
      </c>
      <c r="K58" s="207"/>
      <c r="L58" s="207"/>
      <c r="M58" s="207"/>
      <c r="N58" s="207"/>
      <c r="O58" s="207"/>
      <c r="P58" s="169" t="s">
        <v>474</v>
      </c>
      <c r="Q58" s="208"/>
      <c r="R58" s="166" t="str">
        <f ca="1">IF(ISERROR($V58),"",OFFSET('Smelter Look-up'!$C$4,$V58-4,0)&amp;"")</f>
        <v>Sichuan Tianze Precious Metals Co., Ltd.</v>
      </c>
      <c r="S58" s="165" t="str">
        <f t="shared" ca="1" si="5"/>
        <v>CN</v>
      </c>
      <c r="T58" s="165" t="str">
        <f ca="1">IF(B58="","",IF(ISERROR(MATCH($J58,SorP!$B$1:$B$6261,0)),"",INDIRECT("'SorP'!$A$"&amp;MATCH($S58&amp;$J58,SorP!C:C,0))))</f>
        <v>CN-SC</v>
      </c>
      <c r="U58" s="185"/>
      <c r="V58" s="209">
        <f>IF(C58="",NA(),IF(OR(C58="Smelter not listed",C58="Smelter not yet identified"),MATCH($B58&amp;$D58,'Smelter Look-up'!$J:$J,0),MATCH($B58&amp;$C58,'Smelter Look-up'!$J:$J,0)))</f>
        <v>277</v>
      </c>
      <c r="X58" s="210">
        <f t="shared" si="6"/>
        <v>0</v>
      </c>
      <c r="AB58" s="211" t="str">
        <f t="shared" si="7"/>
        <v>GoldSichuan Tianze Precious Metals Co., Ltd.</v>
      </c>
    </row>
    <row r="59" spans="1:28" s="210" customFormat="1" ht="102">
      <c r="A59" s="165" t="s">
        <v>702</v>
      </c>
      <c r="B59" s="166" t="s">
        <v>1087</v>
      </c>
      <c r="C59" s="170" t="s">
        <v>875</v>
      </c>
      <c r="D59" s="213"/>
      <c r="E59" s="166" t="s">
        <v>2322</v>
      </c>
      <c r="F59" s="166" t="s">
        <v>702</v>
      </c>
      <c r="G59" s="166" t="s">
        <v>12764</v>
      </c>
      <c r="H59" s="167">
        <v>0</v>
      </c>
      <c r="I59" s="168" t="s">
        <v>1600</v>
      </c>
      <c r="J59" s="168" t="s">
        <v>11071</v>
      </c>
      <c r="K59" s="207"/>
      <c r="L59" s="207"/>
      <c r="M59" s="207"/>
      <c r="N59" s="207" t="s">
        <v>15891</v>
      </c>
      <c r="O59" s="207" t="s">
        <v>15891</v>
      </c>
      <c r="P59" s="169" t="s">
        <v>473</v>
      </c>
      <c r="Q59" s="208"/>
      <c r="R59" s="166" t="str">
        <f ca="1">IF(ISERROR($V59),"",OFFSET('Smelter Look-up'!$C$4,$V59-4,0)&amp;"")</f>
        <v>Solar Applied Materials Technology Corp.</v>
      </c>
      <c r="S59" s="165" t="str">
        <f t="shared" ca="1" si="5"/>
        <v>TW</v>
      </c>
      <c r="T59" s="165" t="str">
        <f ca="1">IF(B59="","",IF(ISERROR(MATCH($J59,SorP!$B$1:$B$6261,0)),"",INDIRECT("'SorP'!$A$"&amp;MATCH($S59&amp;$J59,SorP!C:C,0))))</f>
        <v>TW-TNN</v>
      </c>
      <c r="U59" s="185"/>
      <c r="V59" s="209">
        <f>IF(C59="",NA(),IF(OR(C59="Smelter not listed",C59="Smelter not yet identified"),MATCH($B59&amp;$D59,'Smelter Look-up'!$J:$J,0),MATCH($B59&amp;$C59,'Smelter Look-up'!$J:$J,0)))</f>
        <v>282</v>
      </c>
      <c r="X59" s="210">
        <f t="shared" si="6"/>
        <v>0</v>
      </c>
      <c r="AB59" s="211" t="str">
        <f t="shared" si="7"/>
        <v>GoldSolar Applied Materials Technology Corp.</v>
      </c>
    </row>
    <row r="60" spans="1:28" s="210" customFormat="1" ht="76.5">
      <c r="A60" s="165" t="s">
        <v>703</v>
      </c>
      <c r="B60" s="166" t="s">
        <v>1087</v>
      </c>
      <c r="C60" s="170" t="s">
        <v>54</v>
      </c>
      <c r="D60" s="213"/>
      <c r="E60" s="166" t="s">
        <v>1066</v>
      </c>
      <c r="F60" s="166" t="s">
        <v>703</v>
      </c>
      <c r="G60" s="166" t="s">
        <v>12764</v>
      </c>
      <c r="H60" s="167">
        <v>0</v>
      </c>
      <c r="I60" s="168" t="s">
        <v>15905</v>
      </c>
      <c r="J60" s="168" t="s">
        <v>2118</v>
      </c>
      <c r="K60" s="207"/>
      <c r="L60" s="207"/>
      <c r="M60" s="207"/>
      <c r="N60" s="207" t="s">
        <v>15906</v>
      </c>
      <c r="O60" s="207" t="s">
        <v>15907</v>
      </c>
      <c r="P60" s="169" t="s">
        <v>474</v>
      </c>
      <c r="Q60" s="208"/>
      <c r="R60" s="166" t="str">
        <f ca="1">IF(ISERROR($V60),"",OFFSET('Smelter Look-up'!$C$4,$V60-4,0)&amp;"")</f>
        <v>Sumitomo Metal Mining Co., Ltd.</v>
      </c>
      <c r="S60" s="165" t="str">
        <f t="shared" ca="1" si="5"/>
        <v>JP</v>
      </c>
      <c r="T60" s="165" t="str">
        <f ca="1">IF(B60="","",IF(ISERROR(MATCH($J60,SorP!$B$1:$B$6261,0)),"",INDIRECT("'SorP'!$A$"&amp;MATCH($S60&amp;$J60,SorP!C:C,0))))</f>
        <v>JP-38</v>
      </c>
      <c r="U60" s="185"/>
      <c r="V60" s="209">
        <f>IF(C60="",NA(),IF(OR(C60="Smelter not listed",C60="Smelter not yet identified"),MATCH($B60&amp;$D60,'Smelter Look-up'!$J:$J,0),MATCH($B60&amp;$C60,'Smelter Look-up'!$J:$J,0)))</f>
        <v>290</v>
      </c>
      <c r="X60" s="210">
        <f t="shared" si="6"/>
        <v>0</v>
      </c>
      <c r="AB60" s="211" t="str">
        <f t="shared" si="7"/>
        <v>GoldSumitomo Metal Mining Co., Ltd.</v>
      </c>
    </row>
    <row r="61" spans="1:28" s="210" customFormat="1" ht="63.75">
      <c r="A61" s="165" t="s">
        <v>704</v>
      </c>
      <c r="B61" s="166" t="s">
        <v>1087</v>
      </c>
      <c r="C61" s="170" t="s">
        <v>1187</v>
      </c>
      <c r="D61" s="213"/>
      <c r="E61" s="166" t="s">
        <v>1066</v>
      </c>
      <c r="F61" s="166" t="s">
        <v>704</v>
      </c>
      <c r="G61" s="166" t="s">
        <v>12764</v>
      </c>
      <c r="H61" s="167">
        <v>0</v>
      </c>
      <c r="I61" s="168" t="s">
        <v>15908</v>
      </c>
      <c r="J61" s="168" t="s">
        <v>1601</v>
      </c>
      <c r="K61" s="207"/>
      <c r="L61" s="207"/>
      <c r="M61" s="207"/>
      <c r="N61" s="207"/>
      <c r="O61" s="207"/>
      <c r="P61" s="169" t="s">
        <v>474</v>
      </c>
      <c r="Q61" s="208"/>
      <c r="R61" s="166" t="str">
        <f ca="1">IF(ISERROR($V61),"",OFFSET('Smelter Look-up'!$C$4,$V61-4,0)&amp;"")</f>
        <v>Tanaka Kikinzoku Kogyo K.K.</v>
      </c>
      <c r="S61" s="165" t="str">
        <f t="shared" ca="1" si="5"/>
        <v>JP</v>
      </c>
      <c r="T61" s="165" t="str">
        <f ca="1">IF(B61="","",IF(ISERROR(MATCH($J61,SorP!$B$1:$B$6261,0)),"",INDIRECT("'SorP'!$A$"&amp;MATCH($S61&amp;$J61,SorP!C:C,0))))</f>
        <v>JP-14</v>
      </c>
      <c r="U61" s="185"/>
      <c r="V61" s="209">
        <f>IF(C61="",NA(),IF(OR(C61="Smelter not listed",C61="Smelter not yet identified"),MATCH($B61&amp;$D61,'Smelter Look-up'!$J:$J,0),MATCH($B61&amp;$C61,'Smelter Look-up'!$J:$J,0)))</f>
        <v>303</v>
      </c>
      <c r="X61" s="210">
        <f t="shared" si="6"/>
        <v>0</v>
      </c>
      <c r="AB61" s="211" t="str">
        <f t="shared" si="7"/>
        <v>GoldTanaka Kikinzoku Kogyo K.K.</v>
      </c>
    </row>
    <row r="62" spans="1:28" s="210" customFormat="1" ht="63.75">
      <c r="A62" s="165" t="s">
        <v>707</v>
      </c>
      <c r="B62" s="166" t="s">
        <v>1087</v>
      </c>
      <c r="C62" s="170" t="s">
        <v>2070</v>
      </c>
      <c r="D62" s="213"/>
      <c r="E62" s="166" t="s">
        <v>1066</v>
      </c>
      <c r="F62" s="166" t="s">
        <v>707</v>
      </c>
      <c r="G62" s="166" t="s">
        <v>12764</v>
      </c>
      <c r="H62" s="167">
        <v>0</v>
      </c>
      <c r="I62" s="168" t="s">
        <v>15909</v>
      </c>
      <c r="J62" s="168" t="s">
        <v>1532</v>
      </c>
      <c r="K62" s="207"/>
      <c r="L62" s="207"/>
      <c r="M62" s="207"/>
      <c r="N62" s="207" t="s">
        <v>15891</v>
      </c>
      <c r="O62" s="207" t="s">
        <v>15891</v>
      </c>
      <c r="P62" s="169" t="s">
        <v>474</v>
      </c>
      <c r="Q62" s="208"/>
      <c r="R62" s="166" t="str">
        <f ca="1">IF(ISERROR($V62),"",OFFSET('Smelter Look-up'!$C$4,$V62-4,0)&amp;"")</f>
        <v>Tokuriki Honten Co., Ltd.</v>
      </c>
      <c r="S62" s="165" t="str">
        <f t="shared" ca="1" si="5"/>
        <v>JP</v>
      </c>
      <c r="T62" s="165" t="str">
        <f ca="1">IF(B62="","",IF(ISERROR(MATCH($J62,SorP!$B$1:$B$6261,0)),"",INDIRECT("'SorP'!$A$"&amp;MATCH($S62&amp;$J62,SorP!C:C,0))))</f>
        <v>JP-11</v>
      </c>
      <c r="U62" s="185"/>
      <c r="V62" s="209">
        <f>IF(C62="",NA(),IF(OR(C62="Smelter not listed",C62="Smelter not yet identified"),MATCH($B62&amp;$D62,'Smelter Look-up'!$J:$J,0),MATCH($B62&amp;$C62,'Smelter Look-up'!$J:$J,0)))</f>
        <v>309</v>
      </c>
      <c r="X62" s="210">
        <f t="shared" si="6"/>
        <v>0</v>
      </c>
      <c r="AB62" s="211" t="str">
        <f t="shared" si="7"/>
        <v>GoldTokuriki Honten Co., Ltd.</v>
      </c>
    </row>
    <row r="63" spans="1:28" s="210" customFormat="1" ht="102">
      <c r="A63" s="165" t="s">
        <v>710</v>
      </c>
      <c r="B63" s="166" t="s">
        <v>1087</v>
      </c>
      <c r="C63" s="170" t="s">
        <v>2224</v>
      </c>
      <c r="D63" s="213"/>
      <c r="E63" s="166" t="s">
        <v>1053</v>
      </c>
      <c r="F63" s="166" t="s">
        <v>710</v>
      </c>
      <c r="G63" s="166" t="s">
        <v>12764</v>
      </c>
      <c r="H63" s="167">
        <v>0</v>
      </c>
      <c r="I63" s="168" t="s">
        <v>1611</v>
      </c>
      <c r="J63" s="168" t="s">
        <v>3031</v>
      </c>
      <c r="K63" s="207"/>
      <c r="L63" s="207"/>
      <c r="M63" s="207"/>
      <c r="N63" s="207" t="s">
        <v>15891</v>
      </c>
      <c r="O63" s="207" t="s">
        <v>15891</v>
      </c>
      <c r="P63" s="169" t="s">
        <v>473</v>
      </c>
      <c r="Q63" s="208"/>
      <c r="R63" s="166" t="str">
        <f ca="1">IF(ISERROR($V63),"",OFFSET('Smelter Look-up'!$C$4,$V63-4,0)&amp;"")</f>
        <v>Umicore S.A. Business Unit Precious Metals Refining</v>
      </c>
      <c r="S63" s="165" t="str">
        <f t="shared" ca="1" si="5"/>
        <v>BE</v>
      </c>
      <c r="T63" s="165" t="str">
        <f ca="1">IF(B63="","",IF(ISERROR(MATCH($J63,SorP!$B$1:$B$6261,0)),"",INDIRECT("'SorP'!$A$"&amp;MATCH($S63&amp;$J63,SorP!C:C,0))))</f>
        <v>BE-VAN</v>
      </c>
      <c r="U63" s="185"/>
      <c r="V63" s="209">
        <f>IF(C63="",NA(),IF(OR(C63="Smelter not listed",C63="Smelter not yet identified"),MATCH($B63&amp;$D63,'Smelter Look-up'!$J:$J,0),MATCH($B63&amp;$C63,'Smelter Look-up'!$J:$J,0)))</f>
        <v>319</v>
      </c>
      <c r="X63" s="210">
        <f t="shared" si="6"/>
        <v>0</v>
      </c>
      <c r="AB63" s="211" t="str">
        <f t="shared" si="7"/>
        <v>GoldUmicore S.A. Business Unit Precious Metals Refining</v>
      </c>
    </row>
    <row r="64" spans="1:28" s="210" customFormat="1" ht="76.5">
      <c r="A64" s="165" t="s">
        <v>711</v>
      </c>
      <c r="B64" s="166" t="s">
        <v>1087</v>
      </c>
      <c r="C64" s="170" t="s">
        <v>782</v>
      </c>
      <c r="D64" s="213"/>
      <c r="E64" s="166" t="s">
        <v>2323</v>
      </c>
      <c r="F64" s="166" t="s">
        <v>711</v>
      </c>
      <c r="G64" s="166" t="s">
        <v>12764</v>
      </c>
      <c r="H64" s="167">
        <v>0</v>
      </c>
      <c r="I64" s="168" t="s">
        <v>1612</v>
      </c>
      <c r="J64" s="168" t="s">
        <v>1560</v>
      </c>
      <c r="K64" s="207"/>
      <c r="L64" s="207"/>
      <c r="M64" s="207"/>
      <c r="N64" s="207" t="s">
        <v>15891</v>
      </c>
      <c r="O64" s="207" t="s">
        <v>15891</v>
      </c>
      <c r="P64" s="169" t="s">
        <v>473</v>
      </c>
      <c r="Q64" s="208"/>
      <c r="R64" s="166" t="str">
        <f ca="1">IF(ISERROR($V64),"",OFFSET('Smelter Look-up'!$C$4,$V64-4,0)&amp;"")</f>
        <v>United Precious Metal Refining, Inc.</v>
      </c>
      <c r="S64" s="165" t="str">
        <f t="shared" ca="1" si="5"/>
        <v>US</v>
      </c>
      <c r="T64" s="165" t="str">
        <f ca="1">IF(B64="","",IF(ISERROR(MATCH($J64,SorP!$B$1:$B$6261,0)),"",INDIRECT("'SorP'!$A$"&amp;MATCH($S64&amp;$J64,SorP!C:C,0))))</f>
        <v>US-NY</v>
      </c>
      <c r="U64" s="185"/>
      <c r="V64" s="209">
        <f>IF(C64="",NA(),IF(OR(C64="Smelter not listed",C64="Smelter not yet identified"),MATCH($B64&amp;$D64,'Smelter Look-up'!$J:$J,0),MATCH($B64&amp;$C64,'Smelter Look-up'!$J:$J,0)))</f>
        <v>320</v>
      </c>
      <c r="X64" s="210">
        <f t="shared" si="6"/>
        <v>0</v>
      </c>
      <c r="AB64" s="211" t="str">
        <f t="shared" si="7"/>
        <v>GoldUnited Precious Metal Refining, Inc.</v>
      </c>
    </row>
    <row r="65" spans="1:28" s="210" customFormat="1" ht="38.25">
      <c r="A65" s="165" t="s">
        <v>712</v>
      </c>
      <c r="B65" s="166" t="s">
        <v>1087</v>
      </c>
      <c r="C65" s="170" t="s">
        <v>2226</v>
      </c>
      <c r="D65" s="213"/>
      <c r="E65" s="166" t="s">
        <v>1056</v>
      </c>
      <c r="F65" s="166" t="s">
        <v>712</v>
      </c>
      <c r="G65" s="166" t="s">
        <v>12764</v>
      </c>
      <c r="H65" s="167">
        <v>0</v>
      </c>
      <c r="I65" s="168" t="s">
        <v>1613</v>
      </c>
      <c r="J65" s="168" t="s">
        <v>1505</v>
      </c>
      <c r="K65" s="207"/>
      <c r="L65" s="207"/>
      <c r="M65" s="207"/>
      <c r="N65" s="207"/>
      <c r="O65" s="207"/>
      <c r="P65" s="169" t="s">
        <v>474</v>
      </c>
      <c r="Q65" s="208"/>
      <c r="R65" s="166" t="str">
        <f ca="1">IF(ISERROR($V65),"",OFFSET('Smelter Look-up'!$C$4,$V65-4,0)&amp;"")</f>
        <v>Valcambi S.A.</v>
      </c>
      <c r="S65" s="165" t="str">
        <f t="shared" ca="1" si="5"/>
        <v>CH</v>
      </c>
      <c r="T65" s="165" t="str">
        <f ca="1">IF(B65="","",IF(ISERROR(MATCH($J65,SorP!$B$1:$B$6261,0)),"",INDIRECT("'SorP'!$A$"&amp;MATCH($S65&amp;$J65,SorP!C:C,0))))</f>
        <v>CH-TI</v>
      </c>
      <c r="U65" s="185"/>
      <c r="V65" s="209">
        <f>IF(C65="",NA(),IF(OR(C65="Smelter not listed",C65="Smelter not yet identified"),MATCH($B65&amp;$D65,'Smelter Look-up'!$J:$J,0),MATCH($B65&amp;$C65,'Smelter Look-up'!$J:$J,0)))</f>
        <v>321</v>
      </c>
      <c r="X65" s="210">
        <f t="shared" si="6"/>
        <v>0</v>
      </c>
      <c r="AB65" s="211" t="str">
        <f t="shared" si="7"/>
        <v>GoldValcambi S.A.</v>
      </c>
    </row>
    <row r="66" spans="1:28" s="210" customFormat="1" ht="102">
      <c r="A66" s="165" t="s">
        <v>713</v>
      </c>
      <c r="B66" s="166" t="s">
        <v>1087</v>
      </c>
      <c r="C66" s="170" t="s">
        <v>2378</v>
      </c>
      <c r="D66" s="213"/>
      <c r="E66" s="166" t="s">
        <v>1051</v>
      </c>
      <c r="F66" s="166" t="s">
        <v>713</v>
      </c>
      <c r="G66" s="166" t="s">
        <v>12764</v>
      </c>
      <c r="H66" s="167">
        <v>0</v>
      </c>
      <c r="I66" s="168" t="s">
        <v>15910</v>
      </c>
      <c r="J66" s="168" t="s">
        <v>1614</v>
      </c>
      <c r="K66" s="207"/>
      <c r="L66" s="207"/>
      <c r="M66" s="207"/>
      <c r="N66" s="207"/>
      <c r="O66" s="207"/>
      <c r="P66" s="169" t="s">
        <v>475</v>
      </c>
      <c r="Q66" s="208"/>
      <c r="R66" s="166" t="str">
        <f ca="1">IF(ISERROR($V66),"",OFFSET('Smelter Look-up'!$C$4,$V66-4,0)&amp;"")</f>
        <v>Gold Corporation - The Perth Mint</v>
      </c>
      <c r="S66" s="165" t="str">
        <f t="shared" ca="1" si="5"/>
        <v>AU</v>
      </c>
      <c r="T66" s="165" t="str">
        <f ca="1">IF(B66="","",IF(ISERROR(MATCH($J66,SorP!$B$1:$B$6261,0)),"",INDIRECT("'SorP'!$A$"&amp;MATCH($S66&amp;$J66,SorP!C:C,0))))</f>
        <v>AU-WA</v>
      </c>
      <c r="U66" s="185"/>
      <c r="V66" s="209">
        <f>IF(C66="",NA(),IF(OR(C66="Smelter not listed",C66="Smelter not yet identified"),MATCH($B66&amp;$D66,'Smelter Look-up'!$J:$J,0),MATCH($B66&amp;$C66,'Smelter Look-up'!$J:$J,0)))</f>
        <v>324</v>
      </c>
      <c r="X66" s="210">
        <f t="shared" si="6"/>
        <v>0</v>
      </c>
      <c r="AB66" s="211" t="str">
        <f t="shared" si="7"/>
        <v>GoldWestern Australian Mint (T/a The Perth Mint)</v>
      </c>
    </row>
    <row r="67" spans="1:28" s="210" customFormat="1" ht="51">
      <c r="A67" s="165" t="s">
        <v>714</v>
      </c>
      <c r="B67" s="166" t="s">
        <v>1087</v>
      </c>
      <c r="C67" s="170" t="s">
        <v>12466</v>
      </c>
      <c r="D67" s="213"/>
      <c r="E67" s="166" t="s">
        <v>1066</v>
      </c>
      <c r="F67" s="166" t="s">
        <v>714</v>
      </c>
      <c r="G67" s="166" t="s">
        <v>12764</v>
      </c>
      <c r="H67" s="167">
        <v>0</v>
      </c>
      <c r="I67" s="168" t="s">
        <v>12477</v>
      </c>
      <c r="J67" s="168" t="s">
        <v>6453</v>
      </c>
      <c r="K67" s="207"/>
      <c r="L67" s="207"/>
      <c r="M67" s="207"/>
      <c r="N67" s="207"/>
      <c r="O67" s="207"/>
      <c r="P67" s="169" t="s">
        <v>475</v>
      </c>
      <c r="Q67" s="208"/>
      <c r="R67" s="166" t="str">
        <f ca="1">IF(ISERROR($V67),"",OFFSET('Smelter Look-up'!$C$4,$V67-4,0)&amp;"")</f>
        <v>Yamakin Co., Ltd.</v>
      </c>
      <c r="S67" s="165" t="str">
        <f t="shared" ca="1" si="5"/>
        <v>JP</v>
      </c>
      <c r="T67" s="165" t="str">
        <f ca="1">IF(B67="","",IF(ISERROR(MATCH($J67,SorP!$B$1:$B$6261,0)),"",INDIRECT("'SorP'!$A$"&amp;MATCH($S67&amp;$J67,SorP!C:C,0))))</f>
        <v>JP-39</v>
      </c>
      <c r="U67" s="185"/>
      <c r="V67" s="209">
        <f>IF(C67="",NA(),IF(OR(C67="Smelter not listed",C67="Smelter not yet identified"),MATCH($B67&amp;$D67,'Smelter Look-up'!$J:$J,0),MATCH($B67&amp;$C67,'Smelter Look-up'!$J:$J,0)))</f>
        <v>328</v>
      </c>
      <c r="X67" s="210">
        <f t="shared" si="6"/>
        <v>0</v>
      </c>
      <c r="AB67" s="211" t="str">
        <f t="shared" si="7"/>
        <v>GoldYamakin Co., Ltd.</v>
      </c>
    </row>
    <row r="68" spans="1:28" s="210" customFormat="1" ht="63.75">
      <c r="A68" s="165" t="s">
        <v>715</v>
      </c>
      <c r="B68" s="166" t="s">
        <v>1087</v>
      </c>
      <c r="C68" s="170" t="s">
        <v>2072</v>
      </c>
      <c r="D68" s="213"/>
      <c r="E68" s="166" t="s">
        <v>1066</v>
      </c>
      <c r="F68" s="166" t="s">
        <v>715</v>
      </c>
      <c r="G68" s="166" t="s">
        <v>12764</v>
      </c>
      <c r="H68" s="167">
        <v>0</v>
      </c>
      <c r="I68" s="168" t="s">
        <v>1619</v>
      </c>
      <c r="J68" s="168" t="s">
        <v>1601</v>
      </c>
      <c r="K68" s="207"/>
      <c r="L68" s="207"/>
      <c r="M68" s="207"/>
      <c r="N68" s="207" t="s">
        <v>15891</v>
      </c>
      <c r="O68" s="207" t="s">
        <v>15891</v>
      </c>
      <c r="P68" s="169" t="s">
        <v>473</v>
      </c>
      <c r="Q68" s="208"/>
      <c r="R68" s="166" t="str">
        <f ca="1">IF(ISERROR($V68),"",OFFSET('Smelter Look-up'!$C$4,$V68-4,0)&amp;"")</f>
        <v>Yokohama Metal Co., Ltd.</v>
      </c>
      <c r="S68" s="165" t="str">
        <f t="shared" ca="1" si="5"/>
        <v>JP</v>
      </c>
      <c r="T68" s="165" t="str">
        <f ca="1">IF(B68="","",IF(ISERROR(MATCH($J68,SorP!$B$1:$B$6261,0)),"",INDIRECT("'SorP'!$A$"&amp;MATCH($S68&amp;$J68,SorP!C:C,0))))</f>
        <v>JP-14</v>
      </c>
      <c r="U68" s="185"/>
      <c r="V68" s="209">
        <f>IF(C68="",NA(),IF(OR(C68="Smelter not listed",C68="Smelter not yet identified"),MATCH($B68&amp;$D68,'Smelter Look-up'!$J:$J,0),MATCH($B68&amp;$C68,'Smelter Look-up'!$J:$J,0)))</f>
        <v>333</v>
      </c>
      <c r="X68" s="210">
        <f t="shared" si="6"/>
        <v>0</v>
      </c>
      <c r="AB68" s="211" t="str">
        <f t="shared" si="7"/>
        <v>GoldYokohama Metal Co., Ltd.</v>
      </c>
    </row>
    <row r="69" spans="1:28" s="210" customFormat="1" ht="114.75">
      <c r="A69" s="165" t="s">
        <v>717</v>
      </c>
      <c r="B69" s="166" t="s">
        <v>1087</v>
      </c>
      <c r="C69" s="170" t="s">
        <v>1279</v>
      </c>
      <c r="D69" s="213"/>
      <c r="E69" s="166" t="s">
        <v>1058</v>
      </c>
      <c r="F69" s="166" t="s">
        <v>717</v>
      </c>
      <c r="G69" s="166" t="s">
        <v>12764</v>
      </c>
      <c r="H69" s="167">
        <v>0</v>
      </c>
      <c r="I69" s="168" t="s">
        <v>1620</v>
      </c>
      <c r="J69" s="168" t="s">
        <v>13119</v>
      </c>
      <c r="K69" s="207"/>
      <c r="L69" s="207"/>
      <c r="M69" s="207"/>
      <c r="N69" s="207"/>
      <c r="O69" s="207"/>
      <c r="P69" s="169" t="s">
        <v>474</v>
      </c>
      <c r="Q69" s="208"/>
      <c r="R69" s="166" t="str">
        <f ca="1">IF(ISERROR($V69),"",OFFSET('Smelter Look-up'!$C$4,$V69-4,0)&amp;"")</f>
        <v>Zhongyuan Gold Smelter of Zhongjin Gold Corporation</v>
      </c>
      <c r="S69" s="165" t="str">
        <f t="shared" ref="S69" ca="1" si="8">IF(B69="","",IF(ISERROR(MATCH($E69,CL,0)),"Unknown",INDIRECT("'C'!$A$"&amp;MATCH($E69,CL,0)+1)))</f>
        <v>CN</v>
      </c>
      <c r="T69" s="165" t="str">
        <f ca="1">IF(B69="","",IF(ISERROR(MATCH($J69,SorP!$B$1:$B$6261,0)),"",INDIRECT("'SorP'!$A$"&amp;MATCH($S69&amp;$J69,SorP!C:C,0))))</f>
        <v>CN-HA</v>
      </c>
      <c r="U69" s="185"/>
      <c r="V69" s="209">
        <f>IF(C69="",NA(),IF(OR(C69="Smelter not listed",C69="Smelter not yet identified"),MATCH($B69&amp;$D69,'Smelter Look-up'!$J:$J,0),MATCH($B69&amp;$C69,'Smelter Look-up'!$J:$J,0)))</f>
        <v>344</v>
      </c>
      <c r="X69" s="210">
        <f t="shared" ref="X69" si="9">IF(AND(C69="Smelter not listed",OR(LEN(D69)=0,LEN(E69)=0)),1,0)</f>
        <v>0</v>
      </c>
      <c r="AB69" s="211" t="str">
        <f t="shared" ref="AB69" si="10">B69&amp;C69</f>
        <v>GoldZhongyuan Gold Smelter of Zhongjin Gold Corporation</v>
      </c>
    </row>
    <row r="70" spans="1:28" s="210" customFormat="1" ht="25.5">
      <c r="A70" s="165" t="s">
        <v>2214</v>
      </c>
      <c r="B70" s="166" t="s">
        <v>1087</v>
      </c>
      <c r="C70" s="170" t="s">
        <v>2213</v>
      </c>
      <c r="D70" s="213"/>
      <c r="E70" s="166" t="s">
        <v>12996</v>
      </c>
      <c r="F70" s="166" t="s">
        <v>2214</v>
      </c>
      <c r="G70" s="166" t="s">
        <v>12764</v>
      </c>
      <c r="H70" s="167">
        <v>0</v>
      </c>
      <c r="I70" s="168" t="s">
        <v>2215</v>
      </c>
      <c r="J70" s="168" t="s">
        <v>4026</v>
      </c>
      <c r="K70" s="207"/>
      <c r="L70" s="207"/>
      <c r="M70" s="207"/>
      <c r="N70" s="207" t="s">
        <v>15891</v>
      </c>
      <c r="O70" s="207" t="s">
        <v>15891</v>
      </c>
      <c r="P70" s="169" t="s">
        <v>473</v>
      </c>
      <c r="Q70" s="208"/>
      <c r="R70" s="166" t="str">
        <f ca="1">IF(ISERROR($V70),"",OFFSET('Smelter Look-up'!$C$4,$V70-4,0)&amp;"")</f>
        <v>SAFINA A.S.</v>
      </c>
      <c r="S70" s="165" t="str">
        <f t="shared" ref="S70:S101" ca="1" si="11">IF(B70="","",IF(ISERROR(MATCH($E70,CL,0)),"Unknown",INDIRECT("'C'!$A$"&amp;MATCH($E70,CL,0)+1)))</f>
        <v>CZ</v>
      </c>
      <c r="T70" s="165" t="str">
        <f ca="1">IF(B70="","",IF(ISERROR(MATCH($J70,SorP!$B$1:$B$6261,0)),"",INDIRECT("'SorP'!$A$"&amp;MATCH($S70&amp;$J70,SorP!C:C,0))))</f>
        <v>CZ-20A</v>
      </c>
      <c r="U70" s="185"/>
      <c r="V70" s="209">
        <f>IF(C70="",NA(),IF(OR(C70="Smelter not listed",C70="Smelter not yet identified"),MATCH($B70&amp;$D70,'Smelter Look-up'!$J:$J,0),MATCH($B70&amp;$C70,'Smelter Look-up'!$J:$J,0)))</f>
        <v>250</v>
      </c>
      <c r="X70" s="210">
        <f t="shared" ref="X70:X101" si="12">IF(AND(C70="Smelter not listed",OR(LEN(D70)=0,LEN(E70)=0)),1,0)</f>
        <v>0</v>
      </c>
      <c r="AB70" s="211" t="str">
        <f t="shared" ref="AB70:AB101" si="13">B70&amp;C70</f>
        <v>GoldSAFINA A.S.</v>
      </c>
    </row>
    <row r="71" spans="1:28" s="210" customFormat="1" ht="76.5">
      <c r="A71" s="165" t="s">
        <v>1344</v>
      </c>
      <c r="B71" s="166" t="s">
        <v>1087</v>
      </c>
      <c r="C71" s="170" t="s">
        <v>2077</v>
      </c>
      <c r="D71" s="213"/>
      <c r="E71" s="166" t="s">
        <v>1064</v>
      </c>
      <c r="F71" s="166" t="s">
        <v>1344</v>
      </c>
      <c r="G71" s="166" t="s">
        <v>12764</v>
      </c>
      <c r="H71" s="167">
        <v>0</v>
      </c>
      <c r="I71" s="168" t="s">
        <v>1624</v>
      </c>
      <c r="J71" s="168" t="s">
        <v>14936</v>
      </c>
      <c r="K71" s="207"/>
      <c r="L71" s="207"/>
      <c r="M71" s="207"/>
      <c r="N71" s="207"/>
      <c r="O71" s="207"/>
      <c r="P71" s="169" t="s">
        <v>474</v>
      </c>
      <c r="Q71" s="208"/>
      <c r="R71" s="166" t="str">
        <f ca="1">IF(ISERROR($V71),"",OFFSET('Smelter Look-up'!$C$4,$V71-4,0)&amp;"")</f>
        <v>MMTC-PAMP India Pvt., Ltd.</v>
      </c>
      <c r="S71" s="165" t="str">
        <f t="shared" ca="1" si="11"/>
        <v>IN</v>
      </c>
      <c r="T71" s="165" t="str">
        <f ca="1">IF(B71="","",IF(ISERROR(MATCH($J71,SorP!$B$1:$B$6261,0)),"",INDIRECT("'SorP'!$A$"&amp;MATCH($S71&amp;$J71,SorP!C:C,0))))</f>
        <v>IN-HR</v>
      </c>
      <c r="U71" s="185"/>
      <c r="V71" s="209">
        <f>IF(C71="",NA(),IF(OR(C71="Smelter not listed",C71="Smelter not yet identified"),MATCH($B71&amp;$D71,'Smelter Look-up'!$J:$J,0),MATCH($B71&amp;$C71,'Smelter Look-up'!$J:$J,0)))</f>
        <v>208</v>
      </c>
      <c r="X71" s="210">
        <f t="shared" si="12"/>
        <v>0</v>
      </c>
      <c r="AB71" s="211" t="str">
        <f t="shared" si="13"/>
        <v>GoldMMTC-PAMP India Pvt., Ltd.</v>
      </c>
    </row>
    <row r="72" spans="1:28" s="210" customFormat="1" ht="76.5">
      <c r="A72" s="165" t="s">
        <v>1342</v>
      </c>
      <c r="B72" s="166" t="s">
        <v>1087</v>
      </c>
      <c r="C72" s="170" t="s">
        <v>12257</v>
      </c>
      <c r="D72" s="213"/>
      <c r="E72" s="166" t="s">
        <v>842</v>
      </c>
      <c r="F72" s="166" t="s">
        <v>1342</v>
      </c>
      <c r="G72" s="166" t="s">
        <v>12764</v>
      </c>
      <c r="H72" s="167">
        <v>0</v>
      </c>
      <c r="I72" s="168" t="s">
        <v>1626</v>
      </c>
      <c r="J72" s="168" t="s">
        <v>9073</v>
      </c>
      <c r="K72" s="207"/>
      <c r="L72" s="207"/>
      <c r="M72" s="207"/>
      <c r="N72" s="207"/>
      <c r="O72" s="207"/>
      <c r="P72" s="169" t="s">
        <v>474</v>
      </c>
      <c r="Q72" s="208"/>
      <c r="R72" s="166" t="str">
        <f ca="1">IF(ISERROR($V72),"",OFFSET('Smelter Look-up'!$C$4,$V72-4,0)&amp;"")</f>
        <v>KGHM Polska Miedz Spolka Akcyjna</v>
      </c>
      <c r="S72" s="165" t="str">
        <f t="shared" ca="1" si="11"/>
        <v>PL</v>
      </c>
      <c r="T72" s="165" t="str">
        <f ca="1">IF(B72="","",IF(ISERROR(MATCH($J72,SorP!$B$1:$B$6261,0)),"",INDIRECT("'SorP'!$A$"&amp;MATCH($S72&amp;$J72,SorP!C:C,0))))</f>
        <v>PL-02</v>
      </c>
      <c r="U72" s="185"/>
      <c r="V72" s="209">
        <f>IF(C72="",NA(),IF(OR(C72="Smelter not listed",C72="Smelter not yet identified"),MATCH($B72&amp;$D72,'Smelter Look-up'!$J:$J,0),MATCH($B72&amp;$C72,'Smelter Look-up'!$J:$J,0)))</f>
        <v>160</v>
      </c>
      <c r="X72" s="210">
        <f t="shared" si="12"/>
        <v>0</v>
      </c>
      <c r="AB72" s="211" t="str">
        <f t="shared" si="13"/>
        <v>GoldKGHM Polska Miedz Spolka Akcyjna</v>
      </c>
    </row>
    <row r="73" spans="1:28" s="210" customFormat="1" ht="51">
      <c r="A73" s="165" t="s">
        <v>1639</v>
      </c>
      <c r="B73" s="166" t="s">
        <v>1087</v>
      </c>
      <c r="C73" s="170" t="s">
        <v>2199</v>
      </c>
      <c r="D73" s="213"/>
      <c r="E73" s="166" t="s">
        <v>1069</v>
      </c>
      <c r="F73" s="166" t="s">
        <v>1639</v>
      </c>
      <c r="G73" s="166" t="s">
        <v>12764</v>
      </c>
      <c r="H73" s="167">
        <v>0</v>
      </c>
      <c r="I73" s="168" t="s">
        <v>15163</v>
      </c>
      <c r="J73" s="168" t="s">
        <v>12422</v>
      </c>
      <c r="K73" s="207"/>
      <c r="L73" s="207"/>
      <c r="M73" s="207"/>
      <c r="N73" s="207"/>
      <c r="O73" s="207"/>
      <c r="P73" s="169" t="s">
        <v>474</v>
      </c>
      <c r="Q73" s="208"/>
      <c r="R73" s="166" t="str">
        <f ca="1">IF(ISERROR($V73),"",OFFSET('Smelter Look-up'!$C$4,$V73-4,0)&amp;"")</f>
        <v>Korea Zinc Co., Ltd.</v>
      </c>
      <c r="S73" s="165" t="str">
        <f t="shared" ca="1" si="11"/>
        <v>KR</v>
      </c>
      <c r="T73" s="165" t="str">
        <f ca="1">IF(B73="","",IF(ISERROR(MATCH($J73,SorP!$B$1:$B$6261,0)),"",INDIRECT("'SorP'!$A$"&amp;MATCH($S73&amp;$J73,SorP!C:C,0))))</f>
        <v>KR-11</v>
      </c>
      <c r="U73" s="185"/>
      <c r="V73" s="209">
        <f>IF(C73="",NA(),IF(OR(C73="Smelter not listed",C73="Smelter not yet identified"),MATCH($B73&amp;$D73,'Smelter Look-up'!$J:$J,0),MATCH($B73&amp;$C73,'Smelter Look-up'!$J:$J,0)))</f>
        <v>166</v>
      </c>
      <c r="X73" s="210">
        <f t="shared" si="12"/>
        <v>0</v>
      </c>
      <c r="AB73" s="211" t="str">
        <f t="shared" si="13"/>
        <v>GoldKorea Zinc Co., Ltd.</v>
      </c>
    </row>
    <row r="74" spans="1:28" s="210" customFormat="1" ht="51">
      <c r="A74" s="165" t="s">
        <v>2221</v>
      </c>
      <c r="B74" s="166" t="s">
        <v>1087</v>
      </c>
      <c r="C74" s="170" t="s">
        <v>2220</v>
      </c>
      <c r="D74" s="213"/>
      <c r="E74" s="166" t="s">
        <v>1067</v>
      </c>
      <c r="F74" s="166" t="s">
        <v>2221</v>
      </c>
      <c r="G74" s="166" t="s">
        <v>12764</v>
      </c>
      <c r="H74" s="167">
        <v>0</v>
      </c>
      <c r="I74" s="168" t="s">
        <v>2222</v>
      </c>
      <c r="J74" s="168" t="s">
        <v>2223</v>
      </c>
      <c r="K74" s="207"/>
      <c r="L74" s="207"/>
      <c r="M74" s="207"/>
      <c r="N74" s="207"/>
      <c r="O74" s="207"/>
      <c r="P74" s="169" t="s">
        <v>474</v>
      </c>
      <c r="Q74" s="208"/>
      <c r="R74" s="166" t="str">
        <f ca="1">IF(ISERROR($V74),"",OFFSET('Smelter Look-up'!$C$4,$V74-4,0)&amp;"")</f>
        <v>TOO Tau-Ken-Altyn</v>
      </c>
      <c r="S74" s="165" t="str">
        <f t="shared" ca="1" si="11"/>
        <v>KZ</v>
      </c>
      <c r="T74" s="165" t="str">
        <f ca="1">IF(B74="","",IF(ISERROR(MATCH($J74,SorP!$B$1:$B$6261,0)),"",INDIRECT("'SorP'!$A$"&amp;MATCH($S74&amp;$J74,SorP!C:C,0))))</f>
        <v>KZ-75</v>
      </c>
      <c r="U74" s="185"/>
      <c r="V74" s="209">
        <f>IF(C74="",NA(),IF(OR(C74="Smelter not listed",C74="Smelter not yet identified"),MATCH($B74&amp;$D74,'Smelter Look-up'!$J:$J,0),MATCH($B74&amp;$C74,'Smelter Look-up'!$J:$J,0)))</f>
        <v>314</v>
      </c>
      <c r="X74" s="210">
        <f t="shared" si="12"/>
        <v>0</v>
      </c>
      <c r="AB74" s="211" t="str">
        <f t="shared" si="13"/>
        <v>GoldTOO Tau-Ken-Altyn</v>
      </c>
    </row>
    <row r="75" spans="1:28" s="210" customFormat="1" ht="63.75">
      <c r="A75" s="165" t="s">
        <v>2325</v>
      </c>
      <c r="B75" s="166" t="s">
        <v>1087</v>
      </c>
      <c r="C75" s="170" t="s">
        <v>2324</v>
      </c>
      <c r="D75" s="213"/>
      <c r="E75" s="166" t="s">
        <v>2323</v>
      </c>
      <c r="F75" s="166" t="s">
        <v>2325</v>
      </c>
      <c r="G75" s="166" t="s">
        <v>12764</v>
      </c>
      <c r="H75" s="167">
        <v>0</v>
      </c>
      <c r="I75" s="168" t="s">
        <v>2326</v>
      </c>
      <c r="J75" s="168" t="s">
        <v>1660</v>
      </c>
      <c r="K75" s="207"/>
      <c r="L75" s="207"/>
      <c r="M75" s="207"/>
      <c r="N75" s="207"/>
      <c r="O75" s="207"/>
      <c r="P75" s="169" t="s">
        <v>474</v>
      </c>
      <c r="Q75" s="208"/>
      <c r="R75" s="166" t="str">
        <f ca="1">IF(ISERROR($V75),"",OFFSET('Smelter Look-up'!$C$4,$V75-4,0)&amp;"")</f>
        <v>Abington Reldan Metals, LLC</v>
      </c>
      <c r="S75" s="165" t="str">
        <f t="shared" ca="1" si="11"/>
        <v>US</v>
      </c>
      <c r="T75" s="165" t="str">
        <f ca="1">IF(B75="","",IF(ISERROR(MATCH($J75,SorP!$B$1:$B$6261,0)),"",INDIRECT("'SorP'!$A$"&amp;MATCH($S75&amp;$J75,SorP!C:C,0))))</f>
        <v>US-PA</v>
      </c>
      <c r="U75" s="185"/>
      <c r="V75" s="209">
        <f>IF(C75="",NA(),IF(OR(C75="Smelter not listed",C75="Smelter not yet identified"),MATCH($B75&amp;$D75,'Smelter Look-up'!$J:$J,0),MATCH($B75&amp;$C75,'Smelter Look-up'!$J:$J,0)))</f>
        <v>7</v>
      </c>
      <c r="X75" s="210">
        <f t="shared" si="12"/>
        <v>0</v>
      </c>
      <c r="AB75" s="211" t="str">
        <f t="shared" si="13"/>
        <v>GoldAbington Reldan Metals, LLC</v>
      </c>
    </row>
    <row r="76" spans="1:28" s="210" customFormat="1" ht="25.5">
      <c r="A76" s="165" t="s">
        <v>2393</v>
      </c>
      <c r="B76" s="166" t="s">
        <v>1087</v>
      </c>
      <c r="C76" s="170" t="s">
        <v>2392</v>
      </c>
      <c r="D76" s="213"/>
      <c r="E76" s="166" t="s">
        <v>1065</v>
      </c>
      <c r="F76" s="166" t="s">
        <v>2393</v>
      </c>
      <c r="G76" s="166" t="s">
        <v>12764</v>
      </c>
      <c r="H76" s="167">
        <v>0</v>
      </c>
      <c r="I76" s="168" t="s">
        <v>1522</v>
      </c>
      <c r="J76" s="168" t="s">
        <v>6296</v>
      </c>
      <c r="K76" s="207"/>
      <c r="L76" s="207"/>
      <c r="M76" s="207"/>
      <c r="N76" s="207"/>
      <c r="O76" s="207"/>
      <c r="P76" s="169" t="s">
        <v>474</v>
      </c>
      <c r="Q76" s="208"/>
      <c r="R76" s="166" t="str">
        <f ca="1">IF(ISERROR($V76),"",OFFSET('Smelter Look-up'!$C$4,$V76-4,0)&amp;"")</f>
        <v>Italpreziosi</v>
      </c>
      <c r="S76" s="165" t="str">
        <f t="shared" ca="1" si="11"/>
        <v>IT</v>
      </c>
      <c r="T76" s="165" t="str">
        <f ca="1">IF(B76="","",IF(ISERROR(MATCH($J76,SorP!$B$1:$B$6261,0)),"",INDIRECT("'SorP'!$A$"&amp;MATCH($S76&amp;$J76,SorP!C:C,0))))</f>
        <v>IT-52</v>
      </c>
      <c r="U76" s="185"/>
      <c r="V76" s="209">
        <f>IF(C76="",NA(),IF(OR(C76="Smelter not listed",C76="Smelter not yet identified"),MATCH($B76&amp;$D76,'Smelter Look-up'!$J:$J,0),MATCH($B76&amp;$C76,'Smelter Look-up'!$J:$J,0)))</f>
        <v>139</v>
      </c>
      <c r="X76" s="210">
        <f t="shared" si="12"/>
        <v>0</v>
      </c>
      <c r="AB76" s="211" t="str">
        <f t="shared" si="13"/>
        <v>GoldItalpreziosi</v>
      </c>
    </row>
    <row r="77" spans="1:28" s="210" customFormat="1" ht="63.75">
      <c r="A77" s="165" t="s">
        <v>2110</v>
      </c>
      <c r="B77" s="166" t="s">
        <v>1087</v>
      </c>
      <c r="C77" s="170" t="s">
        <v>2108</v>
      </c>
      <c r="D77" s="213"/>
      <c r="E77" s="166" t="s">
        <v>1059</v>
      </c>
      <c r="F77" s="166" t="s">
        <v>2110</v>
      </c>
      <c r="G77" s="166" t="s">
        <v>12764</v>
      </c>
      <c r="H77" s="167">
        <v>0</v>
      </c>
      <c r="I77" s="168" t="s">
        <v>1498</v>
      </c>
      <c r="J77" s="168" t="s">
        <v>1499</v>
      </c>
      <c r="K77" s="207"/>
      <c r="L77" s="207"/>
      <c r="M77" s="207"/>
      <c r="N77" s="207" t="s">
        <v>15891</v>
      </c>
      <c r="O77" s="207" t="s">
        <v>15891</v>
      </c>
      <c r="P77" s="169" t="s">
        <v>473</v>
      </c>
      <c r="Q77" s="208"/>
      <c r="R77" s="166" t="str">
        <f ca="1">IF(ISERROR($V77),"",OFFSET('Smelter Look-up'!$C$4,$V77-4,0)&amp;"")</f>
        <v>WIELAND Edelmetalle GmbH</v>
      </c>
      <c r="S77" s="165" t="str">
        <f t="shared" ca="1" si="11"/>
        <v>DE</v>
      </c>
      <c r="T77" s="165" t="str">
        <f ca="1">IF(B77="","",IF(ISERROR(MATCH($J77,SorP!$B$1:$B$6261,0)),"",INDIRECT("'SorP'!$A$"&amp;MATCH($S77&amp;$J77,SorP!C:C,0))))</f>
        <v>DE-BW</v>
      </c>
      <c r="U77" s="185"/>
      <c r="V77" s="209">
        <f>IF(C77="",NA(),IF(OR(C77="Smelter not listed",C77="Smelter not yet identified"),MATCH($B77&amp;$D77,'Smelter Look-up'!$J:$J,0),MATCH($B77&amp;$C77,'Smelter Look-up'!$J:$J,0)))</f>
        <v>325</v>
      </c>
      <c r="X77" s="210">
        <f t="shared" si="12"/>
        <v>0</v>
      </c>
      <c r="AB77" s="211" t="str">
        <f t="shared" si="13"/>
        <v>GoldWIELAND Edelmetalle GmbH</v>
      </c>
    </row>
    <row r="78" spans="1:28" s="210" customFormat="1" ht="63.75">
      <c r="A78" s="165" t="s">
        <v>2342</v>
      </c>
      <c r="B78" s="166" t="s">
        <v>1087</v>
      </c>
      <c r="C78" s="170" t="s">
        <v>12465</v>
      </c>
      <c r="D78" s="213"/>
      <c r="E78" s="166" t="s">
        <v>1069</v>
      </c>
      <c r="F78" s="166" t="s">
        <v>2342</v>
      </c>
      <c r="G78" s="166" t="s">
        <v>12764</v>
      </c>
      <c r="H78" s="167">
        <v>0</v>
      </c>
      <c r="I78" s="168" t="s">
        <v>12476</v>
      </c>
      <c r="J78" s="168" t="s">
        <v>12419</v>
      </c>
      <c r="K78" s="207"/>
      <c r="L78" s="207"/>
      <c r="M78" s="207"/>
      <c r="N78" s="207" t="s">
        <v>15891</v>
      </c>
      <c r="O78" s="207" t="s">
        <v>15891</v>
      </c>
      <c r="P78" s="169" t="s">
        <v>473</v>
      </c>
      <c r="Q78" s="208"/>
      <c r="R78" s="166" t="str">
        <f ca="1">IF(ISERROR($V78),"",OFFSET('Smelter Look-up'!$C$4,$V78-4,0)&amp;"")</f>
        <v>SungEel HiMetal Co., Ltd.</v>
      </c>
      <c r="S78" s="165" t="str">
        <f t="shared" ca="1" si="11"/>
        <v>KR</v>
      </c>
      <c r="T78" s="165" t="str">
        <f ca="1">IF(B78="","",IF(ISERROR(MATCH($J78,SorP!$B$1:$B$6261,0)),"",INDIRECT("'SorP'!$A$"&amp;MATCH($S78&amp;$J78,SorP!C:C,0))))</f>
        <v>KR-45</v>
      </c>
      <c r="U78" s="185"/>
      <c r="V78" s="209">
        <f>IF(C78="",NA(),IF(OR(C78="Smelter not listed",C78="Smelter not yet identified"),MATCH($B78&amp;$D78,'Smelter Look-up'!$J:$J,0),MATCH($B78&amp;$C78,'Smelter Look-up'!$J:$J,0)))</f>
        <v>291</v>
      </c>
      <c r="X78" s="210">
        <f t="shared" si="12"/>
        <v>0</v>
      </c>
      <c r="AB78" s="211" t="str">
        <f t="shared" si="13"/>
        <v>GoldSungEel HiMetal Co., Ltd.</v>
      </c>
    </row>
    <row r="79" spans="1:28" s="210" customFormat="1" ht="89.25">
      <c r="A79" s="165" t="s">
        <v>2404</v>
      </c>
      <c r="B79" s="166" t="s">
        <v>1087</v>
      </c>
      <c r="C79" s="170" t="s">
        <v>2403</v>
      </c>
      <c r="D79" s="213"/>
      <c r="E79" s="166" t="s">
        <v>1057</v>
      </c>
      <c r="F79" s="166" t="s">
        <v>2404</v>
      </c>
      <c r="G79" s="166" t="s">
        <v>12764</v>
      </c>
      <c r="H79" s="167">
        <v>0</v>
      </c>
      <c r="I79" s="168" t="s">
        <v>2405</v>
      </c>
      <c r="J79" s="168" t="s">
        <v>2406</v>
      </c>
      <c r="K79" s="207"/>
      <c r="L79" s="207"/>
      <c r="M79" s="207"/>
      <c r="N79" s="207" t="s">
        <v>15891</v>
      </c>
      <c r="O79" s="207" t="s">
        <v>15891</v>
      </c>
      <c r="P79" s="169" t="s">
        <v>473</v>
      </c>
      <c r="Q79" s="208"/>
      <c r="R79" s="166" t="str">
        <f ca="1">IF(ISERROR($V79),"",OFFSET('Smelter Look-up'!$C$4,$V79-4,0)&amp;"")</f>
        <v>Planta Recuperadora de Metales SpA</v>
      </c>
      <c r="S79" s="165" t="str">
        <f t="shared" ca="1" si="11"/>
        <v>CL</v>
      </c>
      <c r="T79" s="165" t="str">
        <f ca="1">IF(B79="","",IF(ISERROR(MATCH($J79,SorP!$B$1:$B$6261,0)),"",INDIRECT("'SorP'!$A$"&amp;MATCH($S79&amp;$J79,SorP!C:C,0))))</f>
        <v>CL-AN</v>
      </c>
      <c r="U79" s="185"/>
      <c r="V79" s="209">
        <f>IF(C79="",NA(),IF(OR(C79="Smelter not listed",C79="Smelter not yet identified"),MATCH($B79&amp;$D79,'Smelter Look-up'!$J:$J,0),MATCH($B79&amp;$C79,'Smelter Look-up'!$J:$J,0)))</f>
        <v>234</v>
      </c>
      <c r="X79" s="210">
        <f t="shared" si="12"/>
        <v>0</v>
      </c>
      <c r="AB79" s="211" t="str">
        <f t="shared" si="13"/>
        <v>GoldPlanta Recuperadora de Metales SpA</v>
      </c>
    </row>
    <row r="80" spans="1:28" s="210" customFormat="1" ht="63.75">
      <c r="A80" s="165" t="s">
        <v>12462</v>
      </c>
      <c r="B80" s="166" t="s">
        <v>1087</v>
      </c>
      <c r="C80" s="170" t="s">
        <v>12461</v>
      </c>
      <c r="D80" s="213"/>
      <c r="E80" s="166" t="s">
        <v>1069</v>
      </c>
      <c r="F80" s="166" t="s">
        <v>12462</v>
      </c>
      <c r="G80" s="166" t="s">
        <v>12764</v>
      </c>
      <c r="H80" s="167">
        <v>0</v>
      </c>
      <c r="I80" s="168" t="s">
        <v>12475</v>
      </c>
      <c r="J80" s="168" t="s">
        <v>12416</v>
      </c>
      <c r="K80" s="207"/>
      <c r="L80" s="207"/>
      <c r="M80" s="207"/>
      <c r="N80" s="207" t="s">
        <v>15891</v>
      </c>
      <c r="O80" s="207" t="s">
        <v>15891</v>
      </c>
      <c r="P80" s="169" t="s">
        <v>473</v>
      </c>
      <c r="Q80" s="208"/>
      <c r="R80" s="166" t="str">
        <f ca="1">IF(ISERROR($V80),"",OFFSET('Smelter Look-up'!$C$4,$V80-4,0)&amp;"")</f>
        <v>NH Recytech Company</v>
      </c>
      <c r="S80" s="165" t="str">
        <f t="shared" ca="1" si="11"/>
        <v>KR</v>
      </c>
      <c r="T80" s="165" t="str">
        <f ca="1">IF(B80="","",IF(ISERROR(MATCH($J80,SorP!$B$1:$B$6261,0)),"",INDIRECT("'SorP'!$A$"&amp;MATCH($S80&amp;$J80,SorP!C:C,0))))</f>
        <v>KR-41</v>
      </c>
      <c r="U80" s="185"/>
      <c r="V80" s="209">
        <f>IF(C80="",NA(),IF(OR(C80="Smelter not listed",C80="Smelter not yet identified"),MATCH($B80&amp;$D80,'Smelter Look-up'!$J:$J,0),MATCH($B80&amp;$C80,'Smelter Look-up'!$J:$J,0)))</f>
        <v>216</v>
      </c>
      <c r="X80" s="210">
        <f t="shared" si="12"/>
        <v>0</v>
      </c>
      <c r="AB80" s="211" t="str">
        <f t="shared" si="13"/>
        <v>GoldNH Recytech Company</v>
      </c>
    </row>
    <row r="81" spans="1:28" s="210" customFormat="1" ht="89.25">
      <c r="A81" s="165" t="s">
        <v>13342</v>
      </c>
      <c r="B81" s="166" t="s">
        <v>1087</v>
      </c>
      <c r="C81" s="170" t="s">
        <v>13322</v>
      </c>
      <c r="D81" s="213"/>
      <c r="E81" s="166" t="s">
        <v>1066</v>
      </c>
      <c r="F81" s="166" t="s">
        <v>13342</v>
      </c>
      <c r="G81" s="166" t="s">
        <v>12764</v>
      </c>
      <c r="H81" s="167">
        <v>0</v>
      </c>
      <c r="I81" s="168" t="s">
        <v>13356</v>
      </c>
      <c r="J81" s="168" t="s">
        <v>1527</v>
      </c>
      <c r="K81" s="207"/>
      <c r="L81" s="207"/>
      <c r="M81" s="207"/>
      <c r="N81" s="207" t="s">
        <v>15891</v>
      </c>
      <c r="O81" s="207" t="s">
        <v>15891</v>
      </c>
      <c r="P81" s="169" t="s">
        <v>473</v>
      </c>
      <c r="Q81" s="208"/>
      <c r="R81" s="166" t="str">
        <f ca="1">IF(ISERROR($V81),"",OFFSET('Smelter Look-up'!$C$4,$V81-4,0)&amp;"")</f>
        <v>Eco-System Recycling Co., Ltd. North Plant</v>
      </c>
      <c r="S81" s="165" t="str">
        <f t="shared" ca="1" si="11"/>
        <v>JP</v>
      </c>
      <c r="T81" s="165" t="str">
        <f ca="1">IF(B81="","",IF(ISERROR(MATCH($J81,SorP!$B$1:$B$6261,0)),"",INDIRECT("'SorP'!$A$"&amp;MATCH($S81&amp;$J81,SorP!C:C,0))))</f>
        <v>JP-05</v>
      </c>
      <c r="U81" s="185"/>
      <c r="V81" s="209">
        <f>IF(C81="",NA(),IF(OR(C81="Smelter not listed",C81="Smelter not yet identified"),MATCH($B81&amp;$D81,'Smelter Look-up'!$J:$J,0),MATCH($B81&amp;$C81,'Smelter Look-up'!$J:$J,0)))</f>
        <v>85</v>
      </c>
      <c r="X81" s="210">
        <f t="shared" si="12"/>
        <v>0</v>
      </c>
      <c r="AB81" s="211" t="str">
        <f t="shared" si="13"/>
        <v>GoldEco-System Recycling Co., Ltd. North Plant</v>
      </c>
    </row>
    <row r="82" spans="1:28" s="210" customFormat="1" ht="89.25">
      <c r="A82" s="165" t="s">
        <v>13343</v>
      </c>
      <c r="B82" s="166" t="s">
        <v>1087</v>
      </c>
      <c r="C82" s="170" t="s">
        <v>13323</v>
      </c>
      <c r="D82" s="213"/>
      <c r="E82" s="166" t="s">
        <v>1066</v>
      </c>
      <c r="F82" s="166" t="s">
        <v>13343</v>
      </c>
      <c r="G82" s="166" t="s">
        <v>12764</v>
      </c>
      <c r="H82" s="167">
        <v>0</v>
      </c>
      <c r="I82" s="168" t="s">
        <v>6513</v>
      </c>
      <c r="J82" s="168" t="s">
        <v>6513</v>
      </c>
      <c r="K82" s="207"/>
      <c r="L82" s="207"/>
      <c r="M82" s="207"/>
      <c r="N82" s="207" t="s">
        <v>15891</v>
      </c>
      <c r="O82" s="207" t="s">
        <v>15891</v>
      </c>
      <c r="P82" s="169" t="s">
        <v>473</v>
      </c>
      <c r="Q82" s="208"/>
      <c r="R82" s="166" t="str">
        <f ca="1">IF(ISERROR($V82),"",OFFSET('Smelter Look-up'!$C$4,$V82-4,0)&amp;"")</f>
        <v>Eco-System Recycling Co., Ltd. West Plant</v>
      </c>
      <c r="S82" s="165" t="str">
        <f t="shared" ca="1" si="11"/>
        <v>JP</v>
      </c>
      <c r="T82" s="165" t="str">
        <f ca="1">IF(B82="","",IF(ISERROR(MATCH($J82,SorP!$B$1:$B$6261,0)),"",INDIRECT("'SorP'!$A$"&amp;MATCH($S82&amp;$J82,SorP!C:C,0))))</f>
        <v>JP-33</v>
      </c>
      <c r="U82" s="185"/>
      <c r="V82" s="209">
        <f>IF(C82="",NA(),IF(OR(C82="Smelter not listed",C82="Smelter not yet identified"),MATCH($B82&amp;$D82,'Smelter Look-up'!$J:$J,0),MATCH($B82&amp;$C82,'Smelter Look-up'!$J:$J,0)))</f>
        <v>86</v>
      </c>
      <c r="X82" s="210">
        <f t="shared" si="12"/>
        <v>0</v>
      </c>
      <c r="AB82" s="211" t="str">
        <f t="shared" si="13"/>
        <v>GoldEco-System Recycling Co., Ltd. West Plant</v>
      </c>
    </row>
    <row r="83" spans="1:28" s="210" customFormat="1" ht="89.25">
      <c r="A83" s="165" t="s">
        <v>14509</v>
      </c>
      <c r="B83" s="166" t="s">
        <v>1087</v>
      </c>
      <c r="C83" s="170" t="s">
        <v>14508</v>
      </c>
      <c r="D83" s="213"/>
      <c r="E83" s="166" t="s">
        <v>853</v>
      </c>
      <c r="F83" s="166" t="s">
        <v>14509</v>
      </c>
      <c r="G83" s="166" t="s">
        <v>12764</v>
      </c>
      <c r="H83" s="167">
        <v>0</v>
      </c>
      <c r="I83" s="168" t="s">
        <v>14854</v>
      </c>
      <c r="J83" s="168" t="s">
        <v>1584</v>
      </c>
      <c r="K83" s="207"/>
      <c r="L83" s="207"/>
      <c r="M83" s="207"/>
      <c r="N83" s="207"/>
      <c r="O83" s="207"/>
      <c r="P83" s="169" t="s">
        <v>474</v>
      </c>
      <c r="Q83" s="208"/>
      <c r="R83" s="166" t="str">
        <f ca="1">IF(ISERROR($V83),"",OFFSET('Smelter Look-up'!$C$4,$V83-4,0)&amp;"")</f>
        <v>Metal Concentrators SA (Pty) Ltd.</v>
      </c>
      <c r="S83" s="165" t="str">
        <f t="shared" ca="1" si="11"/>
        <v>ZA</v>
      </c>
      <c r="T83" s="165" t="str">
        <f ca="1">IF(B83="","",IF(ISERROR(MATCH($J83,SorP!$B$1:$B$6261,0)),"",INDIRECT("'SorP'!$A$"&amp;MATCH($S83&amp;$J83,SorP!C:C,0))))</f>
        <v>ZA-GP</v>
      </c>
      <c r="U83" s="185"/>
      <c r="V83" s="209">
        <f>IF(C83="",NA(),IF(OR(C83="Smelter not listed",C83="Smelter not yet identified"),MATCH($B83&amp;$D83,'Smelter Look-up'!$J:$J,0),MATCH($B83&amp;$C83,'Smelter Look-up'!$J:$J,0)))</f>
        <v>188</v>
      </c>
      <c r="X83" s="210">
        <f t="shared" si="12"/>
        <v>0</v>
      </c>
      <c r="AB83" s="211" t="str">
        <f t="shared" si="13"/>
        <v>GoldMetal Concentrators SA (Pty) Ltd.</v>
      </c>
    </row>
    <row r="84" spans="1:28" s="210" customFormat="1" ht="51">
      <c r="A84" s="165" t="s">
        <v>14852</v>
      </c>
      <c r="B84" s="166" t="s">
        <v>1087</v>
      </c>
      <c r="C84" s="170" t="s">
        <v>14851</v>
      </c>
      <c r="D84" s="213"/>
      <c r="E84" s="166" t="s">
        <v>12522</v>
      </c>
      <c r="F84" s="166" t="s">
        <v>14852</v>
      </c>
      <c r="G84" s="166" t="s">
        <v>12764</v>
      </c>
      <c r="H84" s="167">
        <v>0</v>
      </c>
      <c r="I84" s="168" t="s">
        <v>14853</v>
      </c>
      <c r="J84" s="168" t="s">
        <v>3832</v>
      </c>
      <c r="K84" s="207"/>
      <c r="L84" s="207"/>
      <c r="M84" s="207"/>
      <c r="N84" s="207"/>
      <c r="O84" s="207"/>
      <c r="P84" s="169" t="s">
        <v>474</v>
      </c>
      <c r="Q84" s="208"/>
      <c r="R84" s="166" t="str">
        <f ca="1">IF(ISERROR($V84),"",OFFSET('Smelter Look-up'!$C$4,$V84-4,0)&amp;"")</f>
        <v>Gold by Gold Colombia</v>
      </c>
      <c r="S84" s="165" t="str">
        <f t="shared" ca="1" si="11"/>
        <v>CO</v>
      </c>
      <c r="T84" s="165" t="str">
        <f ca="1">IF(B84="","",IF(ISERROR(MATCH($J84,SorP!$B$1:$B$6261,0)),"",INDIRECT("'SorP'!$A$"&amp;MATCH($S84&amp;$J84,SorP!C:C,0))))</f>
        <v>CO-ANT</v>
      </c>
      <c r="U84" s="185"/>
      <c r="V84" s="209">
        <f>IF(C84="",NA(),IF(OR(C84="Smelter not listed",C84="Smelter not yet identified"),MATCH($B84&amp;$D84,'Smelter Look-up'!$J:$J,0),MATCH($B84&amp;$C84,'Smelter Look-up'!$J:$J,0)))</f>
        <v>107</v>
      </c>
      <c r="X84" s="210">
        <f t="shared" si="12"/>
        <v>0</v>
      </c>
      <c r="AB84" s="211" t="str">
        <f t="shared" si="13"/>
        <v>GoldGold by Gold Colombia</v>
      </c>
    </row>
    <row r="85" spans="1:28" s="210" customFormat="1" ht="51">
      <c r="A85" s="165" t="s">
        <v>14890</v>
      </c>
      <c r="B85" s="166" t="s">
        <v>1087</v>
      </c>
      <c r="C85" s="170" t="s">
        <v>14889</v>
      </c>
      <c r="D85" s="213"/>
      <c r="E85" s="166" t="s">
        <v>1054</v>
      </c>
      <c r="F85" s="166" t="s">
        <v>14890</v>
      </c>
      <c r="G85" s="166" t="s">
        <v>12764</v>
      </c>
      <c r="H85" s="167">
        <v>0</v>
      </c>
      <c r="I85" s="168" t="s">
        <v>14922</v>
      </c>
      <c r="J85" s="168" t="s">
        <v>1648</v>
      </c>
      <c r="K85" s="207"/>
      <c r="L85" s="207"/>
      <c r="M85" s="207"/>
      <c r="N85" s="207"/>
      <c r="O85" s="207"/>
      <c r="P85" s="169" t="s">
        <v>474</v>
      </c>
      <c r="Q85" s="208"/>
      <c r="R85" s="166" t="str">
        <f ca="1">IF(ISERROR($V85),"",OFFSET('Smelter Look-up'!$C$4,$V85-4,0)&amp;"")</f>
        <v>Coimpa Industrial LTDA</v>
      </c>
      <c r="S85" s="165" t="str">
        <f t="shared" ca="1" si="11"/>
        <v>BR</v>
      </c>
      <c r="T85" s="165" t="str">
        <f ca="1">IF(B85="","",IF(ISERROR(MATCH($J85,SorP!$B$1:$B$6261,0)),"",INDIRECT("'SorP'!$A$"&amp;MATCH($S85&amp;$J85,SorP!C:C,0))))</f>
        <v>BR-AM</v>
      </c>
      <c r="U85" s="185"/>
      <c r="V85" s="209">
        <f>IF(C85="",NA(),IF(OR(C85="Smelter not listed",C85="Smelter not yet identified"),MATCH($B85&amp;$D85,'Smelter Look-up'!$J:$J,0),MATCH($B85&amp;$C85,'Smelter Look-up'!$J:$J,0)))</f>
        <v>71</v>
      </c>
      <c r="X85" s="210">
        <f t="shared" si="12"/>
        <v>0</v>
      </c>
      <c r="AB85" s="211" t="str">
        <f t="shared" si="13"/>
        <v>GoldCoimpa Industrial LTDA</v>
      </c>
    </row>
    <row r="86" spans="1:28" s="210" customFormat="1" ht="38.25">
      <c r="A86" s="165" t="s">
        <v>15156</v>
      </c>
      <c r="B86" s="166" t="s">
        <v>1087</v>
      </c>
      <c r="C86" s="170" t="s">
        <v>15155</v>
      </c>
      <c r="D86" s="213"/>
      <c r="E86" s="166" t="s">
        <v>12667</v>
      </c>
      <c r="F86" s="166" t="s">
        <v>15156</v>
      </c>
      <c r="G86" s="166" t="s">
        <v>12764</v>
      </c>
      <c r="H86" s="167">
        <v>0</v>
      </c>
      <c r="I86" s="168" t="s">
        <v>15157</v>
      </c>
      <c r="J86" s="168" t="s">
        <v>11104</v>
      </c>
      <c r="K86" s="207"/>
      <c r="L86" s="207"/>
      <c r="M86" s="207"/>
      <c r="N86" s="207"/>
      <c r="O86" s="207"/>
      <c r="P86" s="169" t="s">
        <v>474</v>
      </c>
      <c r="Q86" s="208"/>
      <c r="R86" s="166" t="str">
        <f ca="1">IF(ISERROR($V86),"",OFFSET('Smelter Look-up'!$C$4,$V86-4,0)&amp;"")</f>
        <v>GG Refinery Ltd.</v>
      </c>
      <c r="S86" s="165" t="str">
        <f t="shared" ca="1" si="11"/>
        <v>TZ</v>
      </c>
      <c r="T86" s="165" t="str">
        <f ca="1">IF(B86="","",IF(ISERROR(MATCH($J86,SorP!$B$1:$B$6261,0)),"",INDIRECT("'SorP'!$A$"&amp;MATCH($S86&amp;$J86,SorP!C:C,0))))</f>
        <v>TZ-27</v>
      </c>
      <c r="U86" s="185"/>
      <c r="V86" s="209">
        <f>IF(C86="",NA(),IF(OR(C86="Smelter not listed",C86="Smelter not yet identified"),MATCH($B86&amp;$D86,'Smelter Look-up'!$J:$J,0),MATCH($B86&amp;$C86,'Smelter Look-up'!$J:$J,0)))</f>
        <v>103</v>
      </c>
      <c r="X86" s="210">
        <f t="shared" si="12"/>
        <v>0</v>
      </c>
      <c r="AB86" s="211" t="str">
        <f t="shared" si="13"/>
        <v>GoldGG Refinery Ltd.</v>
      </c>
    </row>
    <row r="87" spans="1:28" s="210" customFormat="1" ht="102">
      <c r="A87" s="165" t="s">
        <v>2175</v>
      </c>
      <c r="B87" s="166" t="s">
        <v>1088</v>
      </c>
      <c r="C87" s="170" t="s">
        <v>2228</v>
      </c>
      <c r="D87" s="213"/>
      <c r="E87" s="166" t="s">
        <v>1058</v>
      </c>
      <c r="F87" s="166" t="s">
        <v>2175</v>
      </c>
      <c r="G87" s="166" t="s">
        <v>12764</v>
      </c>
      <c r="H87" s="167">
        <v>0</v>
      </c>
      <c r="I87" s="168" t="s">
        <v>1693</v>
      </c>
      <c r="J87" s="168" t="s">
        <v>13121</v>
      </c>
      <c r="K87" s="207"/>
      <c r="L87" s="207"/>
      <c r="M87" s="207"/>
      <c r="N87" s="207"/>
      <c r="O87" s="207"/>
      <c r="P87" s="169" t="s">
        <v>474</v>
      </c>
      <c r="Q87" s="208"/>
      <c r="R87" s="166" t="str">
        <f ca="1">IF(ISERROR($V87),"",OFFSET('Smelter Look-up'!$C$4,$V87-4,0)&amp;"")</f>
        <v>Chenzhou Yunxiang Mining and Metallurgy Co., Ltd.</v>
      </c>
      <c r="S87" s="165" t="str">
        <f t="shared" ca="1" si="11"/>
        <v>CN</v>
      </c>
      <c r="T87" s="165" t="str">
        <f ca="1">IF(B87="","",IF(ISERROR(MATCH($J87,SorP!$B$1:$B$6261,0)),"",INDIRECT("'SorP'!$A$"&amp;MATCH($S87&amp;$J87,SorP!C:C,0))))</f>
        <v>CN-HN</v>
      </c>
      <c r="U87" s="185"/>
      <c r="V87" s="209">
        <f>IF(C87="",NA(),IF(OR(C87="Smelter not listed",C87="Smelter not yet identified"),MATCH($B87&amp;$D87,'Smelter Look-up'!$J:$J,0),MATCH($B87&amp;$C87,'Smelter Look-up'!$J:$J,0)))</f>
        <v>428</v>
      </c>
      <c r="X87" s="210">
        <f t="shared" si="12"/>
        <v>0</v>
      </c>
      <c r="AB87" s="211" t="str">
        <f t="shared" si="13"/>
        <v>TinChenzhou Yunxiang Mining and Metallurgy Co., Ltd.</v>
      </c>
    </row>
    <row r="88" spans="1:28" s="210" customFormat="1" ht="25.5">
      <c r="A88" s="165" t="s">
        <v>735</v>
      </c>
      <c r="B88" s="166" t="s">
        <v>1088</v>
      </c>
      <c r="C88" s="170" t="s">
        <v>15911</v>
      </c>
      <c r="D88" s="213"/>
      <c r="E88" s="166" t="s">
        <v>2323</v>
      </c>
      <c r="F88" s="166" t="s">
        <v>735</v>
      </c>
      <c r="G88" s="166" t="s">
        <v>12764</v>
      </c>
      <c r="H88" s="167">
        <v>0</v>
      </c>
      <c r="I88" s="168" t="s">
        <v>1679</v>
      </c>
      <c r="J88" s="168" t="s">
        <v>1660</v>
      </c>
      <c r="K88" s="207"/>
      <c r="L88" s="207"/>
      <c r="M88" s="207"/>
      <c r="N88" s="207"/>
      <c r="O88" s="207"/>
      <c r="P88" s="169" t="s">
        <v>474</v>
      </c>
      <c r="Q88" s="208"/>
      <c r="R88" s="166" t="str">
        <f ca="1">IF(ISERROR($V88),"",OFFSET('Smelter Look-up'!$C$4,$V88-4,0)&amp;"")</f>
        <v/>
      </c>
      <c r="S88" s="165" t="str">
        <f t="shared" ca="1" si="11"/>
        <v>US</v>
      </c>
      <c r="T88" s="165" t="str">
        <f ca="1">IF(B88="","",IF(ISERROR(MATCH($J88,SorP!$B$1:$B$6261,0)),"",INDIRECT("'SorP'!$A$"&amp;MATCH($S88&amp;$J88,SorP!C:C,0))))</f>
        <v>US-PA</v>
      </c>
      <c r="U88" s="185"/>
      <c r="V88" s="209" t="e">
        <f>IF(C88="",NA(),IF(OR(C88="Smelter not listed",C88="Smelter not yet identified"),MATCH($B88&amp;$D88,'Smelter Look-up'!$J:$J,0),MATCH($B88&amp;$C88,'Smelter Look-up'!$J:$J,0)))</f>
        <v>#N/A</v>
      </c>
      <c r="X88" s="210">
        <f t="shared" si="12"/>
        <v>0</v>
      </c>
      <c r="AB88" s="211" t="str">
        <f t="shared" si="13"/>
        <v>TinAlpha</v>
      </c>
    </row>
    <row r="89" spans="1:28" s="210" customFormat="1" ht="20.25">
      <c r="A89" s="165" t="s">
        <v>1362</v>
      </c>
      <c r="B89" s="166" t="s">
        <v>1088</v>
      </c>
      <c r="C89" s="170" t="s">
        <v>866</v>
      </c>
      <c r="D89" s="213"/>
      <c r="E89" s="166" t="s">
        <v>1066</v>
      </c>
      <c r="F89" s="166" t="s">
        <v>1362</v>
      </c>
      <c r="G89" s="166" t="s">
        <v>12764</v>
      </c>
      <c r="H89" s="167">
        <v>0</v>
      </c>
      <c r="I89" s="168" t="s">
        <v>1526</v>
      </c>
      <c r="J89" s="168" t="s">
        <v>1527</v>
      </c>
      <c r="K89" s="207"/>
      <c r="L89" s="207"/>
      <c r="M89" s="207"/>
      <c r="N89" s="207"/>
      <c r="O89" s="207"/>
      <c r="P89" s="169" t="s">
        <v>474</v>
      </c>
      <c r="Q89" s="208"/>
      <c r="R89" s="166" t="str">
        <f ca="1">IF(ISERROR($V89),"",OFFSET('Smelter Look-up'!$C$4,$V89-4,0)&amp;"")</f>
        <v>Dowa</v>
      </c>
      <c r="S89" s="165" t="str">
        <f t="shared" ca="1" si="11"/>
        <v>JP</v>
      </c>
      <c r="T89" s="165" t="str">
        <f ca="1">IF(B89="","",IF(ISERROR(MATCH($J89,SorP!$B$1:$B$6261,0)),"",INDIRECT("'SorP'!$A$"&amp;MATCH($S89&amp;$J89,SorP!C:C,0))))</f>
        <v>JP-05</v>
      </c>
      <c r="U89" s="185"/>
      <c r="V89" s="209">
        <f>IF(C89="",NA(),IF(OR(C89="Smelter not listed",C89="Smelter not yet identified"),MATCH($B89&amp;$D89,'Smelter Look-up'!$J:$J,0),MATCH($B89&amp;$C89,'Smelter Look-up'!$J:$J,0)))</f>
        <v>450</v>
      </c>
      <c r="X89" s="210">
        <f t="shared" si="12"/>
        <v>0</v>
      </c>
      <c r="AB89" s="211" t="str">
        <f t="shared" si="13"/>
        <v>TinDowa</v>
      </c>
    </row>
    <row r="90" spans="1:28" s="210" customFormat="1" ht="38.25">
      <c r="A90" s="165" t="s">
        <v>736</v>
      </c>
      <c r="B90" s="166" t="s">
        <v>1088</v>
      </c>
      <c r="C90" s="170" t="s">
        <v>803</v>
      </c>
      <c r="D90" s="213"/>
      <c r="E90" s="166" t="s">
        <v>2321</v>
      </c>
      <c r="F90" s="166" t="s">
        <v>736</v>
      </c>
      <c r="G90" s="166" t="s">
        <v>12764</v>
      </c>
      <c r="H90" s="167">
        <v>0</v>
      </c>
      <c r="I90" s="168" t="s">
        <v>1688</v>
      </c>
      <c r="J90" s="168" t="s">
        <v>1688</v>
      </c>
      <c r="K90" s="207"/>
      <c r="L90" s="207"/>
      <c r="M90" s="207"/>
      <c r="N90" s="207" t="s">
        <v>15912</v>
      </c>
      <c r="O90" s="207" t="s">
        <v>15913</v>
      </c>
      <c r="P90" s="169" t="s">
        <v>474</v>
      </c>
      <c r="Q90" s="208"/>
      <c r="R90" s="166" t="str">
        <f ca="1">IF(ISERROR($V90),"",OFFSET('Smelter Look-up'!$C$4,$V90-4,0)&amp;"")</f>
        <v>EM Vinto</v>
      </c>
      <c r="S90" s="165" t="str">
        <f t="shared" ca="1" si="11"/>
        <v>Unknown</v>
      </c>
      <c r="T90" s="165" t="e">
        <f ca="1">IF(B90="","",IF(ISERROR(MATCH($J90,SorP!$B$1:$B$6261,0)),"",INDIRECT("'SorP'!$A$"&amp;MATCH($S90&amp;$J90,SorP!C:C,0))))</f>
        <v>#N/A</v>
      </c>
      <c r="U90" s="185"/>
      <c r="V90" s="209">
        <f>IF(C90="",NA(),IF(OR(C90="Smelter not listed",C90="Smelter not yet identified"),MATCH($B90&amp;$D90,'Smelter Look-up'!$J:$J,0),MATCH($B90&amp;$C90,'Smelter Look-up'!$J:$J,0)))</f>
        <v>453</v>
      </c>
      <c r="X90" s="210">
        <f t="shared" si="12"/>
        <v>0</v>
      </c>
      <c r="AB90" s="211" t="str">
        <f t="shared" si="13"/>
        <v>TinEM Vinto</v>
      </c>
    </row>
    <row r="91" spans="1:28" s="210" customFormat="1" ht="25.5">
      <c r="A91" s="165" t="s">
        <v>738</v>
      </c>
      <c r="B91" s="166" t="s">
        <v>1088</v>
      </c>
      <c r="C91" s="170" t="s">
        <v>778</v>
      </c>
      <c r="D91" s="213"/>
      <c r="E91" s="166" t="s">
        <v>842</v>
      </c>
      <c r="F91" s="166" t="s">
        <v>738</v>
      </c>
      <c r="G91" s="166" t="s">
        <v>12764</v>
      </c>
      <c r="H91" s="167">
        <v>0</v>
      </c>
      <c r="I91" s="168" t="s">
        <v>1690</v>
      </c>
      <c r="J91" s="168" t="s">
        <v>9079</v>
      </c>
      <c r="K91" s="207"/>
      <c r="L91" s="207"/>
      <c r="M91" s="207"/>
      <c r="N91" s="207" t="s">
        <v>15891</v>
      </c>
      <c r="O91" s="207" t="s">
        <v>15891</v>
      </c>
      <c r="P91" s="169" t="s">
        <v>473</v>
      </c>
      <c r="Q91" s="208"/>
      <c r="R91" s="166" t="str">
        <f ca="1">IF(ISERROR($V91),"",OFFSET('Smelter Look-up'!$C$4,$V91-4,0)&amp;"")</f>
        <v>Fenix Metals</v>
      </c>
      <c r="S91" s="165" t="str">
        <f t="shared" ca="1" si="11"/>
        <v>PL</v>
      </c>
      <c r="T91" s="165" t="str">
        <f ca="1">IF(B91="","",IF(ISERROR(MATCH($J91,SorP!$B$1:$B$6261,0)),"",INDIRECT("'SorP'!$A$"&amp;MATCH($S91&amp;$J91,SorP!C:C,0))))</f>
        <v>PL-18</v>
      </c>
      <c r="U91" s="185"/>
      <c r="V91" s="209">
        <f>IF(C91="",NA(),IF(OR(C91="Smelter not listed",C91="Smelter not yet identified"),MATCH($B91&amp;$D91,'Smelter Look-up'!$J:$J,0),MATCH($B91&amp;$C91,'Smelter Look-up'!$J:$J,0)))</f>
        <v>462</v>
      </c>
      <c r="X91" s="210">
        <f t="shared" si="12"/>
        <v>0</v>
      </c>
      <c r="AB91" s="211" t="str">
        <f t="shared" si="13"/>
        <v>TinFenix Metals</v>
      </c>
    </row>
    <row r="92" spans="1:28" s="210" customFormat="1" ht="89.25">
      <c r="A92" s="165" t="s">
        <v>739</v>
      </c>
      <c r="B92" s="166" t="s">
        <v>1088</v>
      </c>
      <c r="C92" s="170" t="s">
        <v>2053</v>
      </c>
      <c r="D92" s="213"/>
      <c r="E92" s="166" t="s">
        <v>1058</v>
      </c>
      <c r="F92" s="166" t="s">
        <v>739</v>
      </c>
      <c r="G92" s="166" t="s">
        <v>12764</v>
      </c>
      <c r="H92" s="167">
        <v>0</v>
      </c>
      <c r="I92" s="168" t="s">
        <v>2336</v>
      </c>
      <c r="J92" s="168" t="s">
        <v>13126</v>
      </c>
      <c r="K92" s="207"/>
      <c r="L92" s="207"/>
      <c r="M92" s="207"/>
      <c r="N92" s="207"/>
      <c r="O92" s="207"/>
      <c r="P92" s="169" t="s">
        <v>475</v>
      </c>
      <c r="Q92" s="208"/>
      <c r="R92" s="166" t="str">
        <f ca="1">IF(ISERROR($V92),"",OFFSET('Smelter Look-up'!$C$4,$V92-4,0)&amp;"")</f>
        <v>Gejiu Non-Ferrous Metal Processing Co., Ltd.</v>
      </c>
      <c r="S92" s="165" t="str">
        <f t="shared" ca="1" si="11"/>
        <v>CN</v>
      </c>
      <c r="T92" s="165" t="str">
        <f ca="1">IF(B92="","",IF(ISERROR(MATCH($J92,SorP!$B$1:$B$6261,0)),"",INDIRECT("'SorP'!$A$"&amp;MATCH($S92&amp;$J92,SorP!C:C,0))))</f>
        <v>CN-YN</v>
      </c>
      <c r="U92" s="185"/>
      <c r="V92" s="209">
        <f>IF(C92="",NA(),IF(OR(C92="Smelter not listed",C92="Smelter not yet identified"),MATCH($B92&amp;$D92,'Smelter Look-up'!$J:$J,0),MATCH($B92&amp;$C92,'Smelter Look-up'!$J:$J,0)))</f>
        <v>468</v>
      </c>
      <c r="X92" s="210">
        <f t="shared" si="12"/>
        <v>0</v>
      </c>
      <c r="AB92" s="211" t="str">
        <f t="shared" si="13"/>
        <v>TinGejiu Non-Ferrous Metal Processing Co., Ltd.</v>
      </c>
    </row>
    <row r="93" spans="1:28" s="210" customFormat="1" ht="63.75">
      <c r="A93" s="165" t="s">
        <v>742</v>
      </c>
      <c r="B93" s="166" t="s">
        <v>1088</v>
      </c>
      <c r="C93" s="170" t="s">
        <v>1281</v>
      </c>
      <c r="D93" s="213"/>
      <c r="E93" s="166" t="s">
        <v>1058</v>
      </c>
      <c r="F93" s="166" t="s">
        <v>742</v>
      </c>
      <c r="G93" s="166" t="s">
        <v>12764</v>
      </c>
      <c r="H93" s="167">
        <v>0</v>
      </c>
      <c r="I93" s="168" t="s">
        <v>1694</v>
      </c>
      <c r="J93" s="168" t="s">
        <v>13101</v>
      </c>
      <c r="K93" s="207"/>
      <c r="L93" s="207"/>
      <c r="M93" s="207"/>
      <c r="N93" s="207"/>
      <c r="O93" s="207"/>
      <c r="P93" s="169" t="s">
        <v>474</v>
      </c>
      <c r="Q93" s="208"/>
      <c r="R93" s="166" t="str">
        <f ca="1">IF(ISERROR($V93),"",OFFSET('Smelter Look-up'!$C$4,$V93-4,0)&amp;"")</f>
        <v>China Tin Group Co., Ltd.</v>
      </c>
      <c r="S93" s="165" t="str">
        <f t="shared" ca="1" si="11"/>
        <v>CN</v>
      </c>
      <c r="T93" s="165" t="str">
        <f ca="1">IF(B93="","",IF(ISERROR(MATCH($J93,SorP!$B$1:$B$6261,0)),"",INDIRECT("'SorP'!$A$"&amp;MATCH($S93&amp;$J93,SorP!C:C,0))))</f>
        <v>CN-GX</v>
      </c>
      <c r="U93" s="185"/>
      <c r="V93" s="209">
        <f>IF(C93="",NA(),IF(OR(C93="Smelter not listed",C93="Smelter not yet identified"),MATCH($B93&amp;$D93,'Smelter Look-up'!$J:$J,0),MATCH($B93&amp;$C93,'Smelter Look-up'!$J:$J,0)))</f>
        <v>431</v>
      </c>
      <c r="X93" s="210">
        <f t="shared" si="12"/>
        <v>0</v>
      </c>
      <c r="AB93" s="211" t="str">
        <f t="shared" si="13"/>
        <v>TinChina Tin Group Co., Ltd.</v>
      </c>
    </row>
    <row r="94" spans="1:28" s="210" customFormat="1" ht="51">
      <c r="A94" s="165" t="s">
        <v>1699</v>
      </c>
      <c r="B94" s="166" t="s">
        <v>1088</v>
      </c>
      <c r="C94" s="170" t="s">
        <v>2057</v>
      </c>
      <c r="D94" s="213"/>
      <c r="E94" s="166" t="s">
        <v>2323</v>
      </c>
      <c r="F94" s="166" t="s">
        <v>1699</v>
      </c>
      <c r="G94" s="166" t="s">
        <v>12764</v>
      </c>
      <c r="H94" s="167">
        <v>0</v>
      </c>
      <c r="I94" s="168" t="s">
        <v>1700</v>
      </c>
      <c r="J94" s="168" t="s">
        <v>1575</v>
      </c>
      <c r="K94" s="207"/>
      <c r="L94" s="207"/>
      <c r="M94" s="207"/>
      <c r="N94" s="207" t="s">
        <v>15891</v>
      </c>
      <c r="O94" s="207" t="s">
        <v>15891</v>
      </c>
      <c r="P94" s="169" t="s">
        <v>473</v>
      </c>
      <c r="Q94" s="208"/>
      <c r="R94" s="166" t="str">
        <f ca="1">IF(ISERROR($V94),"",OFFSET('Smelter Look-up'!$C$4,$V94-4,0)&amp;"")</f>
        <v>Metallic Resources, Inc.</v>
      </c>
      <c r="S94" s="165" t="str">
        <f t="shared" ca="1" si="11"/>
        <v>US</v>
      </c>
      <c r="T94" s="165" t="str">
        <f ca="1">IF(B94="","",IF(ISERROR(MATCH($J94,SorP!$B$1:$B$6261,0)),"",INDIRECT("'SorP'!$A$"&amp;MATCH($S94&amp;$J94,SorP!C:C,0))))</f>
        <v>US-OH</v>
      </c>
      <c r="U94" s="185"/>
      <c r="V94" s="209">
        <f>IF(C94="",NA(),IF(OR(C94="Smelter not listed",C94="Smelter not yet identified"),MATCH($B94&amp;$D94,'Smelter Look-up'!$J:$J,0),MATCH($B94&amp;$C94,'Smelter Look-up'!$J:$J,0)))</f>
        <v>495</v>
      </c>
      <c r="X94" s="210">
        <f t="shared" si="12"/>
        <v>0</v>
      </c>
      <c r="AB94" s="211" t="str">
        <f t="shared" si="13"/>
        <v>TinMetallic Resources, Inc.</v>
      </c>
    </row>
    <row r="95" spans="1:28" s="210" customFormat="1" ht="51">
      <c r="A95" s="165" t="s">
        <v>743</v>
      </c>
      <c r="B95" s="166" t="s">
        <v>1088</v>
      </c>
      <c r="C95" s="170" t="s">
        <v>11981</v>
      </c>
      <c r="D95" s="213"/>
      <c r="E95" s="166" t="s">
        <v>1054</v>
      </c>
      <c r="F95" s="166" t="s">
        <v>743</v>
      </c>
      <c r="G95" s="166" t="s">
        <v>12764</v>
      </c>
      <c r="H95" s="167">
        <v>0</v>
      </c>
      <c r="I95" s="168" t="s">
        <v>15243</v>
      </c>
      <c r="J95" s="168" t="s">
        <v>1610</v>
      </c>
      <c r="K95" s="207"/>
      <c r="L95" s="207"/>
      <c r="M95" s="207"/>
      <c r="N95" s="207"/>
      <c r="O95" s="207"/>
      <c r="P95" s="169" t="s">
        <v>474</v>
      </c>
      <c r="Q95" s="208"/>
      <c r="R95" s="166" t="str">
        <f ca="1">IF(ISERROR($V95),"",OFFSET('Smelter Look-up'!$C$4,$V95-4,0)&amp;"")</f>
        <v>Mineracao Taboca S.A.</v>
      </c>
      <c r="S95" s="165" t="str">
        <f t="shared" ca="1" si="11"/>
        <v>BR</v>
      </c>
      <c r="T95" s="165" t="str">
        <f ca="1">IF(B95="","",IF(ISERROR(MATCH($J95,SorP!$B$1:$B$6261,0)),"",INDIRECT("'SorP'!$A$"&amp;MATCH($S95&amp;$J95,SorP!C:C,0))))</f>
        <v>BR-SP</v>
      </c>
      <c r="U95" s="185"/>
      <c r="V95" s="209">
        <f>IF(C95="",NA(),IF(OR(C95="Smelter not listed",C95="Smelter not yet identified"),MATCH($B95&amp;$D95,'Smelter Look-up'!$J:$J,0),MATCH($B95&amp;$C95,'Smelter Look-up'!$J:$J,0)))</f>
        <v>498</v>
      </c>
      <c r="X95" s="210">
        <f t="shared" si="12"/>
        <v>0</v>
      </c>
      <c r="AB95" s="211" t="str">
        <f t="shared" si="13"/>
        <v>TinMineracao Taboca S.A.</v>
      </c>
    </row>
    <row r="96" spans="1:28" s="210" customFormat="1" ht="25.5">
      <c r="A96" s="165" t="s">
        <v>744</v>
      </c>
      <c r="B96" s="166" t="s">
        <v>1088</v>
      </c>
      <c r="C96" s="170" t="s">
        <v>992</v>
      </c>
      <c r="D96" s="213"/>
      <c r="E96" s="166" t="s">
        <v>840</v>
      </c>
      <c r="F96" s="166" t="s">
        <v>744</v>
      </c>
      <c r="G96" s="166" t="s">
        <v>12764</v>
      </c>
      <c r="H96" s="167">
        <v>0</v>
      </c>
      <c r="I96" s="168" t="s">
        <v>1702</v>
      </c>
      <c r="J96" s="168" t="s">
        <v>8699</v>
      </c>
      <c r="K96" s="207"/>
      <c r="L96" s="207"/>
      <c r="M96" s="207"/>
      <c r="N96" s="207"/>
      <c r="O96" s="207"/>
      <c r="P96" s="169" t="s">
        <v>474</v>
      </c>
      <c r="Q96" s="208"/>
      <c r="R96" s="166" t="str">
        <f ca="1">IF(ISERROR($V96),"",OFFSET('Smelter Look-up'!$C$4,$V96-4,0)&amp;"")</f>
        <v>Minsur</v>
      </c>
      <c r="S96" s="165" t="str">
        <f t="shared" ca="1" si="11"/>
        <v>PE</v>
      </c>
      <c r="T96" s="165" t="str">
        <f ca="1">IF(B96="","",IF(ISERROR(MATCH($J96,SorP!$B$1:$B$6261,0)),"",INDIRECT("'SorP'!$A$"&amp;MATCH($S96&amp;$J96,SorP!C:C,0))))</f>
        <v>PE-ICA</v>
      </c>
      <c r="U96" s="185"/>
      <c r="V96" s="209">
        <f>IF(C96="",NA(),IF(OR(C96="Smelter not listed",C96="Smelter not yet identified"),MATCH($B96&amp;$D96,'Smelter Look-up'!$J:$J,0),MATCH($B96&amp;$C96,'Smelter Look-up'!$J:$J,0)))</f>
        <v>503</v>
      </c>
      <c r="X96" s="210">
        <f t="shared" si="12"/>
        <v>0</v>
      </c>
      <c r="AB96" s="211" t="str">
        <f t="shared" si="13"/>
        <v>TinMinsur</v>
      </c>
    </row>
    <row r="97" spans="1:28" s="210" customFormat="1" ht="76.5">
      <c r="A97" s="165" t="s">
        <v>745</v>
      </c>
      <c r="B97" s="166" t="s">
        <v>1088</v>
      </c>
      <c r="C97" s="170" t="s">
        <v>1120</v>
      </c>
      <c r="D97" s="213"/>
      <c r="E97" s="166" t="s">
        <v>1066</v>
      </c>
      <c r="F97" s="166" t="s">
        <v>745</v>
      </c>
      <c r="G97" s="166" t="s">
        <v>12764</v>
      </c>
      <c r="H97" s="167">
        <v>0</v>
      </c>
      <c r="I97" s="168" t="s">
        <v>15195</v>
      </c>
      <c r="J97" s="168" t="s">
        <v>6497</v>
      </c>
      <c r="K97" s="207"/>
      <c r="L97" s="207"/>
      <c r="M97" s="207"/>
      <c r="N97" s="207"/>
      <c r="O97" s="207"/>
      <c r="P97" s="169" t="s">
        <v>475</v>
      </c>
      <c r="Q97" s="208"/>
      <c r="R97" s="166" t="str">
        <f ca="1">IF(ISERROR($V97),"",OFFSET('Smelter Look-up'!$C$4,$V97-4,0)&amp;"")</f>
        <v>Mitsubishi Materials Corporation</v>
      </c>
      <c r="S97" s="165" t="str">
        <f t="shared" ca="1" si="11"/>
        <v>JP</v>
      </c>
      <c r="T97" s="165" t="str">
        <f ca="1">IF(B97="","",IF(ISERROR(MATCH($J97,SorP!$B$1:$B$6261,0)),"",INDIRECT("'SorP'!$A$"&amp;MATCH($S97&amp;$J97,SorP!C:C,0))))</f>
        <v>JP-28</v>
      </c>
      <c r="U97" s="185"/>
      <c r="V97" s="209">
        <f>IF(C97="",NA(),IF(OR(C97="Smelter not listed",C97="Smelter not yet identified"),MATCH($B97&amp;$D97,'Smelter Look-up'!$J:$J,0),MATCH($B97&amp;$C97,'Smelter Look-up'!$J:$J,0)))</f>
        <v>504</v>
      </c>
      <c r="X97" s="210">
        <f t="shared" si="12"/>
        <v>0</v>
      </c>
      <c r="AB97" s="211" t="str">
        <f t="shared" si="13"/>
        <v>TinMitsubishi Materials Corporation</v>
      </c>
    </row>
    <row r="98" spans="1:28" s="210" customFormat="1" ht="76.5">
      <c r="A98" s="165" t="s">
        <v>747</v>
      </c>
      <c r="B98" s="166" t="s">
        <v>1088</v>
      </c>
      <c r="C98" s="170" t="s">
        <v>746</v>
      </c>
      <c r="D98" s="213"/>
      <c r="E98" s="166" t="s">
        <v>848</v>
      </c>
      <c r="F98" s="166" t="s">
        <v>747</v>
      </c>
      <c r="G98" s="166" t="s">
        <v>12764</v>
      </c>
      <c r="H98" s="167">
        <v>0</v>
      </c>
      <c r="I98" s="168" t="s">
        <v>2233</v>
      </c>
      <c r="J98" s="168" t="s">
        <v>10585</v>
      </c>
      <c r="K98" s="207"/>
      <c r="L98" s="207"/>
      <c r="M98" s="207"/>
      <c r="N98" s="207" t="s">
        <v>15914</v>
      </c>
      <c r="O98" s="207" t="s">
        <v>15914</v>
      </c>
      <c r="P98" s="169" t="s">
        <v>475</v>
      </c>
      <c r="Q98" s="208"/>
      <c r="R98" s="166" t="str">
        <f ca="1">IF(ISERROR($V98),"",OFFSET('Smelter Look-up'!$C$4,$V98-4,0)&amp;"")</f>
        <v>O.M. Manufacturing (Thailand) Co., Ltd.</v>
      </c>
      <c r="S98" s="165" t="str">
        <f t="shared" ca="1" si="11"/>
        <v>TH</v>
      </c>
      <c r="T98" s="165" t="str">
        <f ca="1">IF(B98="","",IF(ISERROR(MATCH($J98,SorP!$B$1:$B$6261,0)),"",INDIRECT("'SorP'!$A$"&amp;MATCH($S98&amp;$J98,SorP!C:C,0))))</f>
        <v>TH-20</v>
      </c>
      <c r="U98" s="185"/>
      <c r="V98" s="209">
        <f>IF(C98="",NA(),IF(OR(C98="Smelter not listed",C98="Smelter not yet identified"),MATCH($B98&amp;$D98,'Smelter Look-up'!$J:$J,0),MATCH($B98&amp;$C98,'Smelter Look-up'!$J:$J,0)))</f>
        <v>511</v>
      </c>
      <c r="X98" s="210">
        <f t="shared" si="12"/>
        <v>0</v>
      </c>
      <c r="AB98" s="211" t="str">
        <f t="shared" si="13"/>
        <v>TinO.M. Manufacturing (Thailand) Co., Ltd.</v>
      </c>
    </row>
    <row r="99" spans="1:28" s="210" customFormat="1" ht="63.75">
      <c r="A99" s="165" t="s">
        <v>748</v>
      </c>
      <c r="B99" s="166" t="s">
        <v>1088</v>
      </c>
      <c r="C99" s="170" t="s">
        <v>13290</v>
      </c>
      <c r="D99" s="213"/>
      <c r="E99" s="166" t="s">
        <v>2321</v>
      </c>
      <c r="F99" s="166" t="s">
        <v>748</v>
      </c>
      <c r="G99" s="166" t="s">
        <v>12764</v>
      </c>
      <c r="H99" s="167">
        <v>0</v>
      </c>
      <c r="I99" s="168" t="s">
        <v>1688</v>
      </c>
      <c r="J99" s="168" t="s">
        <v>1688</v>
      </c>
      <c r="K99" s="207"/>
      <c r="L99" s="207"/>
      <c r="M99" s="207"/>
      <c r="N99" s="207"/>
      <c r="O99" s="207"/>
      <c r="P99" s="169" t="s">
        <v>474</v>
      </c>
      <c r="Q99" s="208"/>
      <c r="R99" s="166" t="str">
        <f ca="1">IF(ISERROR($V99),"",OFFSET('Smelter Look-up'!$C$4,$V99-4,0)&amp;"")</f>
        <v>Operaciones Metalurgicas S.A.</v>
      </c>
      <c r="S99" s="165" t="str">
        <f t="shared" ca="1" si="11"/>
        <v>Unknown</v>
      </c>
      <c r="T99" s="165" t="e">
        <f ca="1">IF(B99="","",IF(ISERROR(MATCH($J99,SorP!$B$1:$B$6261,0)),"",INDIRECT("'SorP'!$A$"&amp;MATCH($S99&amp;$J99,SorP!C:C,0))))</f>
        <v>#N/A</v>
      </c>
      <c r="U99" s="185"/>
      <c r="V99" s="209">
        <f>IF(C99="",NA(),IF(OR(C99="Smelter not listed",C99="Smelter not yet identified"),MATCH($B99&amp;$D99,'Smelter Look-up'!$J:$J,0),MATCH($B99&amp;$C99,'Smelter Look-up'!$J:$J,0)))</f>
        <v>514</v>
      </c>
      <c r="X99" s="210">
        <f t="shared" si="12"/>
        <v>0</v>
      </c>
      <c r="AB99" s="211" t="str">
        <f t="shared" si="13"/>
        <v>TinOperaciones Metalurgicas S.A.</v>
      </c>
    </row>
    <row r="100" spans="1:28" s="210" customFormat="1" ht="51">
      <c r="A100" s="165" t="s">
        <v>749</v>
      </c>
      <c r="B100" s="166" t="s">
        <v>1088</v>
      </c>
      <c r="C100" s="170" t="s">
        <v>607</v>
      </c>
      <c r="D100" s="213"/>
      <c r="E100" s="166" t="s">
        <v>1063</v>
      </c>
      <c r="F100" s="166" t="s">
        <v>749</v>
      </c>
      <c r="G100" s="166" t="s">
        <v>12764</v>
      </c>
      <c r="H100" s="167">
        <v>0</v>
      </c>
      <c r="I100" s="168" t="s">
        <v>1686</v>
      </c>
      <c r="J100" s="168" t="s">
        <v>12398</v>
      </c>
      <c r="K100" s="207"/>
      <c r="L100" s="207"/>
      <c r="M100" s="207"/>
      <c r="N100" s="207"/>
      <c r="O100" s="207"/>
      <c r="P100" s="169" t="s">
        <v>474</v>
      </c>
      <c r="Q100" s="208"/>
      <c r="R100" s="166" t="str">
        <f ca="1">IF(ISERROR($V100),"",OFFSET('Smelter Look-up'!$C$4,$V100-4,0)&amp;"")</f>
        <v>PT Mitra Stania Prima</v>
      </c>
      <c r="S100" s="165" t="str">
        <f t="shared" ca="1" si="11"/>
        <v>ID</v>
      </c>
      <c r="T100" s="165" t="str">
        <f ca="1">IF(B100="","",IF(ISERROR(MATCH($J100,SorP!$B$1:$B$6261,0)),"",INDIRECT("'SorP'!$A$"&amp;MATCH($S100&amp;$J100,SorP!C:C,0))))</f>
        <v>ID-BB</v>
      </c>
      <c r="U100" s="185"/>
      <c r="V100" s="209">
        <f>IF(C100="",NA(),IF(OR(C100="Smelter not listed",C100="Smelter not yet identified"),MATCH($B100&amp;$D100,'Smelter Look-up'!$J:$J,0),MATCH($B100&amp;$C100,'Smelter Look-up'!$J:$J,0)))</f>
        <v>524</v>
      </c>
      <c r="X100" s="210">
        <f t="shared" si="12"/>
        <v>0</v>
      </c>
      <c r="AB100" s="211" t="str">
        <f t="shared" si="13"/>
        <v>TinPT Mitra Stania Prima</v>
      </c>
    </row>
    <row r="101" spans="1:28" s="210" customFormat="1" ht="51">
      <c r="A101" s="165" t="s">
        <v>767</v>
      </c>
      <c r="B101" s="166" t="s">
        <v>1088</v>
      </c>
      <c r="C101" s="170" t="s">
        <v>13289</v>
      </c>
      <c r="D101" s="213"/>
      <c r="E101" s="166" t="s">
        <v>1063</v>
      </c>
      <c r="F101" s="166" t="s">
        <v>767</v>
      </c>
      <c r="G101" s="166" t="s">
        <v>12764</v>
      </c>
      <c r="H101" s="167">
        <v>0</v>
      </c>
      <c r="I101" s="168" t="s">
        <v>1708</v>
      </c>
      <c r="J101" s="168" t="s">
        <v>5897</v>
      </c>
      <c r="K101" s="207"/>
      <c r="L101" s="207"/>
      <c r="M101" s="207"/>
      <c r="N101" s="207"/>
      <c r="O101" s="207"/>
      <c r="P101" s="169" t="s">
        <v>474</v>
      </c>
      <c r="Q101" s="208"/>
      <c r="R101" s="166" t="str">
        <f ca="1">IF(ISERROR($V101),"",OFFSET('Smelter Look-up'!$C$4,$V101-4,0)&amp;"")</f>
        <v>PT Timah Tbk Kundur</v>
      </c>
      <c r="S101" s="165" t="str">
        <f t="shared" ca="1" si="11"/>
        <v>ID</v>
      </c>
      <c r="T101" s="165" t="str">
        <f ca="1">IF(B101="","",IF(ISERROR(MATCH($J101,SorP!$B$1:$B$6261,0)),"",INDIRECT("'SorP'!$A$"&amp;MATCH($S101&amp;$J101,SorP!C:C,0))))</f>
        <v>ID-RI</v>
      </c>
      <c r="U101" s="185"/>
      <c r="V101" s="209">
        <f>IF(C101="",NA(),IF(OR(C101="Smelter not listed",C101="Smelter not yet identified"),MATCH($B101&amp;$D101,'Smelter Look-up'!$J:$J,0),MATCH($B101&amp;$C101,'Smelter Look-up'!$J:$J,0)))</f>
        <v>531</v>
      </c>
      <c r="X101" s="210">
        <f t="shared" si="12"/>
        <v>0</v>
      </c>
      <c r="AB101" s="211" t="str">
        <f t="shared" si="13"/>
        <v>TinPT Timah Tbk Kundur</v>
      </c>
    </row>
    <row r="102" spans="1:28" s="210" customFormat="1" ht="51">
      <c r="A102" s="165" t="s">
        <v>750</v>
      </c>
      <c r="B102" s="166" t="s">
        <v>1088</v>
      </c>
      <c r="C102" s="170" t="s">
        <v>13288</v>
      </c>
      <c r="D102" s="213"/>
      <c r="E102" s="166" t="s">
        <v>1063</v>
      </c>
      <c r="F102" s="166" t="s">
        <v>750</v>
      </c>
      <c r="G102" s="166" t="s">
        <v>12764</v>
      </c>
      <c r="H102" s="167">
        <v>0</v>
      </c>
      <c r="I102" s="168" t="s">
        <v>1710</v>
      </c>
      <c r="J102" s="168" t="s">
        <v>12398</v>
      </c>
      <c r="K102" s="207"/>
      <c r="L102" s="207"/>
      <c r="M102" s="207"/>
      <c r="N102" s="207"/>
      <c r="O102" s="207"/>
      <c r="P102" s="169" t="s">
        <v>474</v>
      </c>
      <c r="Q102" s="208"/>
      <c r="R102" s="166" t="str">
        <f ca="1">IF(ISERROR($V102),"",OFFSET('Smelter Look-up'!$C$4,$V102-4,0)&amp;"")</f>
        <v>PT Timah Tbk Mentok</v>
      </c>
      <c r="S102" s="165" t="str">
        <f t="shared" ref="S102:S132" ca="1" si="14">IF(B102="","",IF(ISERROR(MATCH($E102,CL,0)),"Unknown",INDIRECT("'C'!$A$"&amp;MATCH($E102,CL,0)+1)))</f>
        <v>ID</v>
      </c>
      <c r="T102" s="165" t="str">
        <f ca="1">IF(B102="","",IF(ISERROR(MATCH($J102,SorP!$B$1:$B$6261,0)),"",INDIRECT("'SorP'!$A$"&amp;MATCH($S102&amp;$J102,SorP!C:C,0))))</f>
        <v>ID-BB</v>
      </c>
      <c r="U102" s="185"/>
      <c r="V102" s="209">
        <f>IF(C102="",NA(),IF(OR(C102="Smelter not listed",C102="Smelter not yet identified"),MATCH($B102&amp;$D102,'Smelter Look-up'!$J:$J,0),MATCH($B102&amp;$C102,'Smelter Look-up'!$J:$J,0)))</f>
        <v>532</v>
      </c>
      <c r="X102" s="210">
        <f t="shared" ref="X102:X132" si="15">IF(AND(C102="Smelter not listed",OR(LEN(D102)=0,LEN(E102)=0)),1,0)</f>
        <v>0</v>
      </c>
      <c r="AB102" s="211" t="str">
        <f t="shared" ref="AB102:AB132" si="16">B102&amp;C102</f>
        <v>TinPT Timah Tbk Mentok</v>
      </c>
    </row>
    <row r="103" spans="1:28" s="210" customFormat="1" ht="25.5">
      <c r="A103" s="165" t="s">
        <v>752</v>
      </c>
      <c r="B103" s="166" t="s">
        <v>1088</v>
      </c>
      <c r="C103" s="170" t="s">
        <v>751</v>
      </c>
      <c r="D103" s="213"/>
      <c r="E103" s="166" t="s">
        <v>2322</v>
      </c>
      <c r="F103" s="166" t="s">
        <v>752</v>
      </c>
      <c r="G103" s="166" t="s">
        <v>12764</v>
      </c>
      <c r="H103" s="167">
        <v>0</v>
      </c>
      <c r="I103" s="168" t="s">
        <v>13312</v>
      </c>
      <c r="J103" s="168" t="s">
        <v>1630</v>
      </c>
      <c r="K103" s="207"/>
      <c r="L103" s="207"/>
      <c r="M103" s="207"/>
      <c r="N103" s="207" t="s">
        <v>15891</v>
      </c>
      <c r="O103" s="207" t="s">
        <v>15891</v>
      </c>
      <c r="P103" s="169" t="s">
        <v>473</v>
      </c>
      <c r="Q103" s="208"/>
      <c r="R103" s="166" t="str">
        <f ca="1">IF(ISERROR($V103),"",OFFSET('Smelter Look-up'!$C$4,$V103-4,0)&amp;"")</f>
        <v>Rui Da Hung</v>
      </c>
      <c r="S103" s="165" t="str">
        <f t="shared" ca="1" si="14"/>
        <v>TW</v>
      </c>
      <c r="T103" s="165" t="str">
        <f ca="1">IF(B103="","",IF(ISERROR(MATCH($J103,SorP!$B$1:$B$6261,0)),"",INDIRECT("'SorP'!$A$"&amp;MATCH($S103&amp;$J103,SorP!C:C,0))))</f>
        <v>TW-TAO</v>
      </c>
      <c r="U103" s="185"/>
      <c r="V103" s="209">
        <f>IF(C103="",NA(),IF(OR(C103="Smelter not listed",C103="Smelter not yet identified"),MATCH($B103&amp;$D103,'Smelter Look-up'!$J:$J,0),MATCH($B103&amp;$C103,'Smelter Look-up'!$J:$J,0)))</f>
        <v>537</v>
      </c>
      <c r="X103" s="210">
        <f t="shared" si="15"/>
        <v>0</v>
      </c>
      <c r="AB103" s="211" t="str">
        <f t="shared" si="16"/>
        <v>TinRui Da Hung</v>
      </c>
    </row>
    <row r="104" spans="1:28" s="210" customFormat="1" ht="25.5">
      <c r="A104" s="165" t="s">
        <v>753</v>
      </c>
      <c r="B104" s="166" t="s">
        <v>1088</v>
      </c>
      <c r="C104" s="170" t="s">
        <v>989</v>
      </c>
      <c r="D104" s="213"/>
      <c r="E104" s="166" t="s">
        <v>848</v>
      </c>
      <c r="F104" s="166" t="s">
        <v>753</v>
      </c>
      <c r="G104" s="166" t="s">
        <v>12764</v>
      </c>
      <c r="H104" s="167">
        <v>0</v>
      </c>
      <c r="I104" s="168" t="s">
        <v>1711</v>
      </c>
      <c r="J104" s="168" t="s">
        <v>1712</v>
      </c>
      <c r="K104" s="207"/>
      <c r="L104" s="207"/>
      <c r="M104" s="207"/>
      <c r="N104" s="207" t="s">
        <v>15915</v>
      </c>
      <c r="O104" s="207" t="s">
        <v>819</v>
      </c>
      <c r="P104" s="169" t="s">
        <v>474</v>
      </c>
      <c r="Q104" s="208"/>
      <c r="R104" s="166" t="str">
        <f ca="1">IF(ISERROR($V104),"",OFFSET('Smelter Look-up'!$C$4,$V104-4,0)&amp;"")</f>
        <v>Thaisarco</v>
      </c>
      <c r="S104" s="165" t="str">
        <f t="shared" ca="1" si="14"/>
        <v>TH</v>
      </c>
      <c r="T104" s="165" t="str">
        <f ca="1">IF(B104="","",IF(ISERROR(MATCH($J104,SorP!$B$1:$B$6261,0)),"",INDIRECT("'SorP'!$A$"&amp;MATCH($S104&amp;$J104,SorP!C:C,0))))</f>
        <v>TH-83</v>
      </c>
      <c r="U104" s="185"/>
      <c r="V104" s="209">
        <f>IF(C104="",NA(),IF(OR(C104="Smelter not listed",C104="Smelter not yet identified"),MATCH($B104&amp;$D104,'Smelter Look-up'!$J:$J,0),MATCH($B104&amp;$C104,'Smelter Look-up'!$J:$J,0)))</f>
        <v>543</v>
      </c>
      <c r="X104" s="210">
        <f t="shared" si="15"/>
        <v>0</v>
      </c>
      <c r="AB104" s="211" t="str">
        <f t="shared" si="16"/>
        <v>TinThaisarco</v>
      </c>
    </row>
    <row r="105" spans="1:28" s="210" customFormat="1" ht="76.5">
      <c r="A105" s="165" t="s">
        <v>754</v>
      </c>
      <c r="B105" s="166" t="s">
        <v>1088</v>
      </c>
      <c r="C105" s="170" t="s">
        <v>2422</v>
      </c>
      <c r="D105" s="213"/>
      <c r="E105" s="166" t="s">
        <v>1054</v>
      </c>
      <c r="F105" s="166" t="s">
        <v>754</v>
      </c>
      <c r="G105" s="166" t="s">
        <v>12764</v>
      </c>
      <c r="H105" s="167">
        <v>0</v>
      </c>
      <c r="I105" s="168" t="s">
        <v>1685</v>
      </c>
      <c r="J105" s="168" t="s">
        <v>1689</v>
      </c>
      <c r="K105" s="207"/>
      <c r="L105" s="207"/>
      <c r="M105" s="207"/>
      <c r="N105" s="207"/>
      <c r="O105" s="207"/>
      <c r="P105" s="169" t="s">
        <v>474</v>
      </c>
      <c r="Q105" s="208"/>
      <c r="R105" s="166" t="str">
        <f ca="1">IF(ISERROR($V105),"",OFFSET('Smelter Look-up'!$C$4,$V105-4,0)&amp;"")</f>
        <v>White Solder Metalurgia e Mineracao Ltda.</v>
      </c>
      <c r="S105" s="165" t="str">
        <f t="shared" ca="1" si="14"/>
        <v>BR</v>
      </c>
      <c r="T105" s="165" t="str">
        <f ca="1">IF(B105="","",IF(ISERROR(MATCH($J105,SorP!$B$1:$B$6261,0)),"",INDIRECT("'SorP'!$A$"&amp;MATCH($S105&amp;$J105,SorP!C:C,0))))</f>
        <v>BR-RO</v>
      </c>
      <c r="U105" s="185"/>
      <c r="V105" s="209">
        <f>IF(C105="",NA(),IF(OR(C105="Smelter not listed",C105="Smelter not yet identified"),MATCH($B105&amp;$D105,'Smelter Look-up'!$J:$J,0),MATCH($B105&amp;$C105,'Smelter Look-up'!$J:$J,0)))</f>
        <v>551</v>
      </c>
      <c r="X105" s="210">
        <f t="shared" si="15"/>
        <v>0</v>
      </c>
      <c r="AB105" s="211" t="str">
        <f t="shared" si="16"/>
        <v>TinWhite Solder Metalurgia e Mineracao Ltda.</v>
      </c>
    </row>
    <row r="106" spans="1:28" s="210" customFormat="1" ht="89.25">
      <c r="A106" s="165" t="s">
        <v>756</v>
      </c>
      <c r="B106" s="166" t="s">
        <v>1088</v>
      </c>
      <c r="C106" s="170" t="s">
        <v>14867</v>
      </c>
      <c r="D106" s="213"/>
      <c r="E106" s="166" t="s">
        <v>1058</v>
      </c>
      <c r="F106" s="166" t="s">
        <v>756</v>
      </c>
      <c r="G106" s="166" t="s">
        <v>12764</v>
      </c>
      <c r="H106" s="167">
        <v>0</v>
      </c>
      <c r="I106" s="168" t="s">
        <v>2336</v>
      </c>
      <c r="J106" s="168" t="s">
        <v>13126</v>
      </c>
      <c r="K106" s="207"/>
      <c r="L106" s="207"/>
      <c r="M106" s="207"/>
      <c r="N106" s="207"/>
      <c r="O106" s="207"/>
      <c r="P106" s="169" t="s">
        <v>474</v>
      </c>
      <c r="Q106" s="208"/>
      <c r="R106" s="166" t="str">
        <f ca="1">IF(ISERROR($V106),"",OFFSET('Smelter Look-up'!$C$4,$V106-4,0)&amp;"")</f>
        <v>Tin Smelting Branch of Yunnan Tin Co., Ltd.</v>
      </c>
      <c r="S106" s="165" t="str">
        <f t="shared" ca="1" si="14"/>
        <v>CN</v>
      </c>
      <c r="T106" s="165" t="str">
        <f ca="1">IF(B106="","",IF(ISERROR(MATCH($J106,SorP!$B$1:$B$6261,0)),"",INDIRECT("'SorP'!$A$"&amp;MATCH($S106&amp;$J106,SorP!C:C,0))))</f>
        <v>CN-YN</v>
      </c>
      <c r="U106" s="185"/>
      <c r="V106" s="209">
        <f>IF(C106="",NA(),IF(OR(C106="Smelter not listed",C106="Smelter not yet identified"),MATCH($B106&amp;$D106,'Smelter Look-up'!$J:$J,0),MATCH($B106&amp;$C106,'Smelter Look-up'!$J:$J,0)))</f>
        <v>546</v>
      </c>
      <c r="X106" s="210">
        <f t="shared" si="15"/>
        <v>0</v>
      </c>
      <c r="AB106" s="211" t="str">
        <f t="shared" si="16"/>
        <v>TinTin Smelting Branch of Yunnan Tin Co., Ltd.</v>
      </c>
    </row>
    <row r="107" spans="1:28" s="210" customFormat="1" ht="63.75">
      <c r="A107" s="165" t="s">
        <v>1356</v>
      </c>
      <c r="B107" s="166" t="s">
        <v>1088</v>
      </c>
      <c r="C107" s="170" t="s">
        <v>1355</v>
      </c>
      <c r="D107" s="213"/>
      <c r="E107" s="166" t="s">
        <v>1063</v>
      </c>
      <c r="F107" s="166" t="s">
        <v>1356</v>
      </c>
      <c r="G107" s="166" t="s">
        <v>12764</v>
      </c>
      <c r="H107" s="167">
        <v>0</v>
      </c>
      <c r="I107" s="168" t="s">
        <v>1686</v>
      </c>
      <c r="J107" s="168" t="s">
        <v>12398</v>
      </c>
      <c r="K107" s="207"/>
      <c r="L107" s="207"/>
      <c r="M107" s="207"/>
      <c r="N107" s="207"/>
      <c r="O107" s="207"/>
      <c r="P107" s="169" t="s">
        <v>474</v>
      </c>
      <c r="Q107" s="208"/>
      <c r="R107" s="166" t="str">
        <f ca="1">IF(ISERROR($V107),"",OFFSET('Smelter Look-up'!$C$4,$V107-4,0)&amp;"")</f>
        <v>PT ATD Makmur Mandiri Jaya</v>
      </c>
      <c r="S107" s="165" t="str">
        <f t="shared" ca="1" si="14"/>
        <v>ID</v>
      </c>
      <c r="T107" s="165" t="str">
        <f ca="1">IF(B107="","",IF(ISERROR(MATCH($J107,SorP!$B$1:$B$6261,0)),"",INDIRECT("'SorP'!$A$"&amp;MATCH($S107&amp;$J107,SorP!C:C,0))))</f>
        <v>ID-BB</v>
      </c>
      <c r="U107" s="185"/>
      <c r="V107" s="209">
        <f>IF(C107="",NA(),IF(OR(C107="Smelter not listed",C107="Smelter not yet identified"),MATCH($B107&amp;$D107,'Smelter Look-up'!$J:$J,0),MATCH($B107&amp;$C107,'Smelter Look-up'!$J:$J,0)))</f>
        <v>520</v>
      </c>
      <c r="X107" s="210">
        <f t="shared" si="15"/>
        <v>0</v>
      </c>
      <c r="AB107" s="211" t="str">
        <f t="shared" si="16"/>
        <v>TinPT ATD Makmur Mandiri Jaya</v>
      </c>
    </row>
    <row r="108" spans="1:28" s="210" customFormat="1" ht="63.75">
      <c r="A108" s="165" t="s">
        <v>1354</v>
      </c>
      <c r="B108" s="166" t="s">
        <v>1088</v>
      </c>
      <c r="C108" s="170" t="s">
        <v>1353</v>
      </c>
      <c r="D108" s="213"/>
      <c r="E108" s="166" t="s">
        <v>841</v>
      </c>
      <c r="F108" s="166" t="s">
        <v>1354</v>
      </c>
      <c r="G108" s="166" t="s">
        <v>12764</v>
      </c>
      <c r="H108" s="167">
        <v>0</v>
      </c>
      <c r="I108" s="168" t="s">
        <v>12478</v>
      </c>
      <c r="J108" s="168" t="s">
        <v>9030</v>
      </c>
      <c r="K108" s="207"/>
      <c r="L108" s="207"/>
      <c r="M108" s="207"/>
      <c r="N108" s="207" t="s">
        <v>15891</v>
      </c>
      <c r="O108" s="207" t="s">
        <v>15891</v>
      </c>
      <c r="P108" s="169" t="s">
        <v>473</v>
      </c>
      <c r="Q108" s="208"/>
      <c r="R108" s="166" t="str">
        <f ca="1">IF(ISERROR($V108),"",OFFSET('Smelter Look-up'!$C$4,$V108-4,0)&amp;"")</f>
        <v>O.M. Manufacturing Philippines, Inc.</v>
      </c>
      <c r="S108" s="165" t="str">
        <f t="shared" ca="1" si="14"/>
        <v>PH</v>
      </c>
      <c r="T108" s="165" t="str">
        <f ca="1">IF(B108="","",IF(ISERROR(MATCH($J108,SorP!$B$1:$B$6261,0)),"",INDIRECT("'SorP'!$A$"&amp;MATCH($S108&amp;$J108,SorP!C:C,0))))</f>
        <v>PH-CAV</v>
      </c>
      <c r="U108" s="185"/>
      <c r="V108" s="209">
        <f>IF(C108="",NA(),IF(OR(C108="Smelter not listed",C108="Smelter not yet identified"),MATCH($B108&amp;$D108,'Smelter Look-up'!$J:$J,0),MATCH($B108&amp;$C108,'Smelter Look-up'!$J:$J,0)))</f>
        <v>512</v>
      </c>
      <c r="X108" s="210">
        <f t="shared" si="15"/>
        <v>0</v>
      </c>
      <c r="AB108" s="211" t="str">
        <f t="shared" si="16"/>
        <v>TinO.M. Manufacturing Philippines, Inc.</v>
      </c>
    </row>
    <row r="109" spans="1:28" s="210" customFormat="1" ht="38.25">
      <c r="A109" s="165" t="s">
        <v>15179</v>
      </c>
      <c r="B109" s="166" t="s">
        <v>1088</v>
      </c>
      <c r="C109" s="170" t="s">
        <v>15178</v>
      </c>
      <c r="D109" s="213"/>
      <c r="E109" s="166" t="s">
        <v>1063</v>
      </c>
      <c r="F109" s="166" t="s">
        <v>15179</v>
      </c>
      <c r="G109" s="166" t="s">
        <v>12764</v>
      </c>
      <c r="H109" s="167">
        <v>0</v>
      </c>
      <c r="I109" s="168" t="s">
        <v>14554</v>
      </c>
      <c r="J109" s="168" t="s">
        <v>12398</v>
      </c>
      <c r="K109" s="207"/>
      <c r="L109" s="207"/>
      <c r="M109" s="207"/>
      <c r="N109" s="207"/>
      <c r="O109" s="207"/>
      <c r="P109" s="169" t="s">
        <v>474</v>
      </c>
      <c r="Q109" s="208"/>
      <c r="R109" s="166" t="str">
        <f ca="1">IF(ISERROR($V109),"",OFFSET('Smelter Look-up'!$C$4,$V109-4,0)&amp;"")</f>
        <v>PT Rajehan Ariq</v>
      </c>
      <c r="S109" s="165" t="str">
        <f t="shared" ca="1" si="14"/>
        <v>ID</v>
      </c>
      <c r="T109" s="165" t="str">
        <f ca="1">IF(B109="","",IF(ISERROR(MATCH($J109,SorP!$B$1:$B$6261,0)),"",INDIRECT("'SorP'!$A$"&amp;MATCH($S109&amp;$J109,SorP!C:C,0))))</f>
        <v>ID-BB</v>
      </c>
      <c r="U109" s="185"/>
      <c r="V109" s="209">
        <f>IF(C109="",NA(),IF(OR(C109="Smelter not listed",C109="Smelter not yet identified"),MATCH($B109&amp;$D109,'Smelter Look-up'!$J:$J,0),MATCH($B109&amp;$C109,'Smelter Look-up'!$J:$J,0)))</f>
        <v>529</v>
      </c>
      <c r="X109" s="210">
        <f t="shared" si="15"/>
        <v>0</v>
      </c>
      <c r="AB109" s="211" t="str">
        <f t="shared" si="16"/>
        <v>TinPT Rajehan Ariq</v>
      </c>
    </row>
    <row r="110" spans="1:28" s="210" customFormat="1" ht="51">
      <c r="A110" s="165" t="s">
        <v>14870</v>
      </c>
      <c r="B110" s="166" t="s">
        <v>1088</v>
      </c>
      <c r="C110" s="170" t="s">
        <v>14869</v>
      </c>
      <c r="D110" s="213"/>
      <c r="E110" s="166" t="s">
        <v>1063</v>
      </c>
      <c r="F110" s="166" t="s">
        <v>14870</v>
      </c>
      <c r="G110" s="166" t="s">
        <v>12764</v>
      </c>
      <c r="H110" s="167">
        <v>0</v>
      </c>
      <c r="I110" s="168" t="s">
        <v>14871</v>
      </c>
      <c r="J110" s="168" t="s">
        <v>1707</v>
      </c>
      <c r="K110" s="207"/>
      <c r="L110" s="207"/>
      <c r="M110" s="207"/>
      <c r="N110" s="207"/>
      <c r="O110" s="207"/>
      <c r="P110" s="169" t="s">
        <v>474</v>
      </c>
      <c r="Q110" s="208"/>
      <c r="R110" s="166" t="str">
        <f ca="1">IF(ISERROR($V110),"",OFFSET('Smelter Look-up'!$C$4,$V110-4,0)&amp;"")</f>
        <v>PT Cipta Persada Mulia</v>
      </c>
      <c r="S110" s="165" t="str">
        <f t="shared" ca="1" si="14"/>
        <v>ID</v>
      </c>
      <c r="T110" s="165" t="str">
        <f ca="1">IF(B110="","",IF(ISERROR(MATCH($J110,SorP!$B$1:$B$6261,0)),"",INDIRECT("'SorP'!$A$"&amp;MATCH($S110&amp;$J110,SorP!C:C,0))))</f>
        <v>ID-KR</v>
      </c>
      <c r="U110" s="185"/>
      <c r="V110" s="209">
        <f>IF(C110="",NA(),IF(OR(C110="Smelter not listed",C110="Smelter not yet identified"),MATCH($B110&amp;$D110,'Smelter Look-up'!$J:$J,0),MATCH($B110&amp;$C110,'Smelter Look-up'!$J:$J,0)))</f>
        <v>522</v>
      </c>
      <c r="X110" s="210">
        <f t="shared" si="15"/>
        <v>0</v>
      </c>
      <c r="AB110" s="211" t="str">
        <f t="shared" si="16"/>
        <v>TinPT Cipta Persada Mulia</v>
      </c>
    </row>
    <row r="111" spans="1:28" s="210" customFormat="1" ht="25.5">
      <c r="A111" s="165" t="s">
        <v>2421</v>
      </c>
      <c r="B111" s="166" t="s">
        <v>1088</v>
      </c>
      <c r="C111" s="170" t="s">
        <v>2420</v>
      </c>
      <c r="D111" s="213"/>
      <c r="E111" s="166" t="s">
        <v>1054</v>
      </c>
      <c r="F111" s="166" t="s">
        <v>2421</v>
      </c>
      <c r="G111" s="166" t="s">
        <v>12764</v>
      </c>
      <c r="H111" s="167">
        <v>0</v>
      </c>
      <c r="I111" s="168" t="s">
        <v>2429</v>
      </c>
      <c r="J111" s="168" t="s">
        <v>1610</v>
      </c>
      <c r="K111" s="207"/>
      <c r="L111" s="207"/>
      <c r="M111" s="207"/>
      <c r="N111" s="207"/>
      <c r="O111" s="207"/>
      <c r="P111" s="169" t="s">
        <v>474</v>
      </c>
      <c r="Q111" s="208"/>
      <c r="R111" s="166" t="str">
        <f ca="1">IF(ISERROR($V111),"",OFFSET('Smelter Look-up'!$C$4,$V111-4,0)&amp;"")</f>
        <v>Super Ligas</v>
      </c>
      <c r="S111" s="165" t="str">
        <f t="shared" ca="1" si="14"/>
        <v>BR</v>
      </c>
      <c r="T111" s="165" t="str">
        <f ca="1">IF(B111="","",IF(ISERROR(MATCH($J111,SorP!$B$1:$B$6261,0)),"",INDIRECT("'SorP'!$A$"&amp;MATCH($S111&amp;$J111,SorP!C:C,0))))</f>
        <v>BR-SP</v>
      </c>
      <c r="U111" s="185"/>
      <c r="V111" s="209">
        <f>IF(C111="",NA(),IF(OR(C111="Smelter not listed",C111="Smelter not yet identified"),MATCH($B111&amp;$D111,'Smelter Look-up'!$J:$J,0),MATCH($B111&amp;$C111,'Smelter Look-up'!$J:$J,0)))</f>
        <v>539</v>
      </c>
      <c r="X111" s="210">
        <f t="shared" si="15"/>
        <v>0</v>
      </c>
      <c r="AB111" s="211" t="str">
        <f t="shared" si="16"/>
        <v>TinSuper Ligas</v>
      </c>
    </row>
    <row r="112" spans="1:28" s="210" customFormat="1" ht="38.25">
      <c r="A112" s="165" t="s">
        <v>1728</v>
      </c>
      <c r="B112" s="166" t="s">
        <v>1088</v>
      </c>
      <c r="C112" s="170" t="s">
        <v>14898</v>
      </c>
      <c r="D112" s="213"/>
      <c r="E112" s="166" t="s">
        <v>1053</v>
      </c>
      <c r="F112" s="166" t="s">
        <v>1728</v>
      </c>
      <c r="G112" s="166" t="s">
        <v>12764</v>
      </c>
      <c r="H112" s="167">
        <v>0</v>
      </c>
      <c r="I112" s="168" t="s">
        <v>1729</v>
      </c>
      <c r="J112" s="168" t="s">
        <v>3031</v>
      </c>
      <c r="K112" s="207"/>
      <c r="L112" s="207"/>
      <c r="M112" s="207"/>
      <c r="N112" s="207" t="s">
        <v>15891</v>
      </c>
      <c r="O112" s="207" t="s">
        <v>15891</v>
      </c>
      <c r="P112" s="169" t="s">
        <v>473</v>
      </c>
      <c r="Q112" s="208"/>
      <c r="R112" s="166" t="str">
        <f ca="1">IF(ISERROR($V112),"",OFFSET('Smelter Look-up'!$C$4,$V112-4,0)&amp;"")</f>
        <v>Aurubis Beerse</v>
      </c>
      <c r="S112" s="165" t="str">
        <f t="shared" ca="1" si="14"/>
        <v>BE</v>
      </c>
      <c r="T112" s="165" t="str">
        <f ca="1">IF(B112="","",IF(ISERROR(MATCH($J112,SorP!$B$1:$B$6261,0)),"",INDIRECT("'SorP'!$A$"&amp;MATCH($S112&amp;$J112,SorP!C:C,0))))</f>
        <v>BE-VAN</v>
      </c>
      <c r="U112" s="185"/>
      <c r="V112" s="209">
        <f>IF(C112="",NA(),IF(OR(C112="Smelter not listed",C112="Smelter not yet identified"),MATCH($B112&amp;$D112,'Smelter Look-up'!$J:$J,0),MATCH($B112&amp;$C112,'Smelter Look-up'!$J:$J,0)))</f>
        <v>423</v>
      </c>
      <c r="X112" s="210">
        <f t="shared" si="15"/>
        <v>0</v>
      </c>
      <c r="AB112" s="211" t="str">
        <f t="shared" si="16"/>
        <v>TinAurubis Beerse</v>
      </c>
    </row>
    <row r="113" spans="1:28" s="210" customFormat="1" ht="38.25">
      <c r="A113" s="165" t="s">
        <v>1730</v>
      </c>
      <c r="B113" s="166" t="s">
        <v>1088</v>
      </c>
      <c r="C113" s="170" t="s">
        <v>14899</v>
      </c>
      <c r="D113" s="213"/>
      <c r="E113" s="166" t="s">
        <v>1060</v>
      </c>
      <c r="F113" s="166" t="s">
        <v>1730</v>
      </c>
      <c r="G113" s="166" t="s">
        <v>12764</v>
      </c>
      <c r="H113" s="167">
        <v>0</v>
      </c>
      <c r="I113" s="168" t="s">
        <v>1731</v>
      </c>
      <c r="J113" s="168" t="s">
        <v>11963</v>
      </c>
      <c r="K113" s="207"/>
      <c r="L113" s="207"/>
      <c r="M113" s="207"/>
      <c r="N113" s="207" t="s">
        <v>15891</v>
      </c>
      <c r="O113" s="207" t="s">
        <v>15891</v>
      </c>
      <c r="P113" s="169" t="s">
        <v>473</v>
      </c>
      <c r="Q113" s="208"/>
      <c r="R113" s="166" t="str">
        <f ca="1">IF(ISERROR($V113),"",OFFSET('Smelter Look-up'!$C$4,$V113-4,0)&amp;"")</f>
        <v>Aurubis Berango</v>
      </c>
      <c r="S113" s="165" t="str">
        <f t="shared" ca="1" si="14"/>
        <v>ES</v>
      </c>
      <c r="T113" s="165" t="str">
        <f ca="1">IF(B113="","",IF(ISERROR(MATCH($J113,SorP!$B$1:$B$6261,0)),"",INDIRECT("'SorP'!$A$"&amp;MATCH($S113&amp;$J113,SorP!C:C,0))))</f>
        <v>ES-BI</v>
      </c>
      <c r="U113" s="185"/>
      <c r="V113" s="209">
        <f>IF(C113="",NA(),IF(OR(C113="Smelter not listed",C113="Smelter not yet identified"),MATCH($B113&amp;$D113,'Smelter Look-up'!$J:$J,0),MATCH($B113&amp;$C113,'Smelter Look-up'!$J:$J,0)))</f>
        <v>425</v>
      </c>
      <c r="X113" s="210">
        <f t="shared" si="15"/>
        <v>0</v>
      </c>
      <c r="AB113" s="211" t="str">
        <f t="shared" si="16"/>
        <v>TinAurubis Berango</v>
      </c>
    </row>
    <row r="114" spans="1:28" s="210" customFormat="1" ht="102">
      <c r="A114" s="165" t="s">
        <v>2419</v>
      </c>
      <c r="B114" s="166" t="s">
        <v>1088</v>
      </c>
      <c r="C114" s="170" t="s">
        <v>2418</v>
      </c>
      <c r="D114" s="213"/>
      <c r="E114" s="166" t="s">
        <v>1058</v>
      </c>
      <c r="F114" s="166" t="s">
        <v>2419</v>
      </c>
      <c r="G114" s="166" t="s">
        <v>12764</v>
      </c>
      <c r="H114" s="167">
        <v>0</v>
      </c>
      <c r="I114" s="168" t="s">
        <v>1737</v>
      </c>
      <c r="J114" s="168" t="s">
        <v>13122</v>
      </c>
      <c r="K114" s="207"/>
      <c r="L114" s="207"/>
      <c r="M114" s="207"/>
      <c r="N114" s="207"/>
      <c r="O114" s="207"/>
      <c r="P114" s="169" t="s">
        <v>474</v>
      </c>
      <c r="Q114" s="208"/>
      <c r="R114" s="166" t="str">
        <f ca="1">IF(ISERROR($V114),"",OFFSET('Smelter Look-up'!$C$4,$V114-4,0)&amp;"")</f>
        <v>Guangdong Hanhe Non-Ferrous Metal Co., Ltd.</v>
      </c>
      <c r="S114" s="165" t="str">
        <f t="shared" ca="1" si="14"/>
        <v>CN</v>
      </c>
      <c r="T114" s="165" t="str">
        <f ca="1">IF(B114="","",IF(ISERROR(MATCH($J114,SorP!$B$1:$B$6261,0)),"",INDIRECT("'SorP'!$A$"&amp;MATCH($S114&amp;$J114,SorP!C:C,0))))</f>
        <v>CN-GD</v>
      </c>
      <c r="U114" s="185"/>
      <c r="V114" s="209">
        <f>IF(C114="",NA(),IF(OR(C114="Smelter not listed",C114="Smelter not yet identified"),MATCH($B114&amp;$D114,'Smelter Look-up'!$J:$J,0),MATCH($B114&amp;$C114,'Smelter Look-up'!$J:$J,0)))</f>
        <v>475</v>
      </c>
      <c r="X114" s="210">
        <f t="shared" si="15"/>
        <v>0</v>
      </c>
      <c r="AB114" s="211" t="str">
        <f t="shared" si="16"/>
        <v>TinGuangdong Hanhe Non-Ferrous Metal Co., Ltd.</v>
      </c>
    </row>
    <row r="115" spans="1:28" s="210" customFormat="1" ht="89.25">
      <c r="A115" s="165" t="s">
        <v>12470</v>
      </c>
      <c r="B115" s="166" t="s">
        <v>1088</v>
      </c>
      <c r="C115" s="170" t="s">
        <v>12469</v>
      </c>
      <c r="D115" s="213"/>
      <c r="E115" s="166" t="s">
        <v>1058</v>
      </c>
      <c r="F115" s="166" t="s">
        <v>12470</v>
      </c>
      <c r="G115" s="166" t="s">
        <v>12764</v>
      </c>
      <c r="H115" s="167">
        <v>0</v>
      </c>
      <c r="I115" s="168" t="s">
        <v>12484</v>
      </c>
      <c r="J115" s="168" t="s">
        <v>13100</v>
      </c>
      <c r="K115" s="207"/>
      <c r="L115" s="207"/>
      <c r="M115" s="207"/>
      <c r="N115" s="207"/>
      <c r="O115" s="207"/>
      <c r="P115" s="169" t="s">
        <v>474</v>
      </c>
      <c r="Q115" s="208"/>
      <c r="R115" s="166" t="str">
        <f ca="1">IF(ISERROR($V115),"",OFFSET('Smelter Look-up'!$C$4,$V115-4,0)&amp;"")</f>
        <v>Chifeng Dajingzi Tin Industry Co., Ltd.</v>
      </c>
      <c r="S115" s="165" t="str">
        <f t="shared" ca="1" si="14"/>
        <v>CN</v>
      </c>
      <c r="T115" s="165" t="str">
        <f ca="1">IF(B115="","",IF(ISERROR(MATCH($J115,SorP!$B$1:$B$6261,0)),"",INDIRECT("'SorP'!$A$"&amp;MATCH($S115&amp;$J115,SorP!C:C,0))))</f>
        <v>CN-NM</v>
      </c>
      <c r="U115" s="185"/>
      <c r="V115" s="209">
        <f>IF(C115="",NA(),IF(OR(C115="Smelter not listed",C115="Smelter not yet identified"),MATCH($B115&amp;$D115,'Smelter Look-up'!$J:$J,0),MATCH($B115&amp;$C115,'Smelter Look-up'!$J:$J,0)))</f>
        <v>429</v>
      </c>
      <c r="X115" s="210">
        <f t="shared" si="15"/>
        <v>0</v>
      </c>
      <c r="AB115" s="211" t="str">
        <f t="shared" si="16"/>
        <v>TinChifeng Dajingzi Tin Industry Co., Ltd.</v>
      </c>
    </row>
    <row r="116" spans="1:28" s="210" customFormat="1" ht="51">
      <c r="A116" s="165" t="s">
        <v>12709</v>
      </c>
      <c r="B116" s="166" t="s">
        <v>1088</v>
      </c>
      <c r="C116" s="170" t="s">
        <v>12708</v>
      </c>
      <c r="D116" s="213"/>
      <c r="E116" s="166" t="s">
        <v>2323</v>
      </c>
      <c r="F116" s="166" t="s">
        <v>12709</v>
      </c>
      <c r="G116" s="166" t="s">
        <v>12764</v>
      </c>
      <c r="H116" s="167">
        <v>0</v>
      </c>
      <c r="I116" s="168" t="s">
        <v>12710</v>
      </c>
      <c r="J116" s="168" t="s">
        <v>1660</v>
      </c>
      <c r="K116" s="207"/>
      <c r="L116" s="207"/>
      <c r="M116" s="207"/>
      <c r="N116" s="207"/>
      <c r="O116" s="207"/>
      <c r="P116" s="169" t="s">
        <v>473</v>
      </c>
      <c r="Q116" s="208"/>
      <c r="R116" s="166" t="str">
        <f ca="1">IF(ISERROR($V116),"",OFFSET('Smelter Look-up'!$C$4,$V116-4,0)&amp;"")</f>
        <v>Tin Technology &amp; Refining</v>
      </c>
      <c r="S116" s="165" t="str">
        <f t="shared" ca="1" si="14"/>
        <v>US</v>
      </c>
      <c r="T116" s="165" t="str">
        <f ca="1">IF(B116="","",IF(ISERROR(MATCH($J116,SorP!$B$1:$B$6261,0)),"",INDIRECT("'SorP'!$A$"&amp;MATCH($S116&amp;$J116,SorP!C:C,0))))</f>
        <v>US-PA</v>
      </c>
      <c r="U116" s="185"/>
      <c r="V116" s="209">
        <f>IF(C116="",NA(),IF(OR(C116="Smelter not listed",C116="Smelter not yet identified"),MATCH($B116&amp;$D116,'Smelter Look-up'!$J:$J,0),MATCH($B116&amp;$C116,'Smelter Look-up'!$J:$J,0)))</f>
        <v>547</v>
      </c>
      <c r="X116" s="210">
        <f t="shared" si="15"/>
        <v>0</v>
      </c>
      <c r="AB116" s="211" t="str">
        <f t="shared" si="16"/>
        <v>TinTin Technology &amp; Refining</v>
      </c>
    </row>
    <row r="117" spans="1:28" s="210" customFormat="1" ht="38.25">
      <c r="A117" s="165" t="s">
        <v>13348</v>
      </c>
      <c r="B117" s="166" t="s">
        <v>1088</v>
      </c>
      <c r="C117" s="170" t="s">
        <v>13334</v>
      </c>
      <c r="D117" s="213"/>
      <c r="E117" s="166" t="s">
        <v>12638</v>
      </c>
      <c r="F117" s="166" t="s">
        <v>13348</v>
      </c>
      <c r="G117" s="166" t="s">
        <v>12764</v>
      </c>
      <c r="H117" s="167">
        <v>0</v>
      </c>
      <c r="I117" s="168" t="s">
        <v>13359</v>
      </c>
      <c r="J117" s="168" t="s">
        <v>9642</v>
      </c>
      <c r="K117" s="207"/>
      <c r="L117" s="207"/>
      <c r="M117" s="207"/>
      <c r="N117" s="207" t="s">
        <v>15916</v>
      </c>
      <c r="O117" s="207"/>
      <c r="P117" s="169" t="s">
        <v>474</v>
      </c>
      <c r="Q117" s="208"/>
      <c r="R117" s="166" t="str">
        <f ca="1">IF(ISERROR($V117),"",OFFSET('Smelter Look-up'!$C$4,$V117-4,0)&amp;"")</f>
        <v>Luna Smelter, Ltd.</v>
      </c>
      <c r="S117" s="165" t="str">
        <f t="shared" ca="1" si="14"/>
        <v>RW</v>
      </c>
      <c r="T117" s="165" t="str">
        <f ca="1">IF(B117="","",IF(ISERROR(MATCH($J117,SorP!$B$1:$B$6261,0)),"",INDIRECT("'SorP'!$A$"&amp;MATCH($S117&amp;$J117,SorP!C:C,0))))</f>
        <v>RW-01</v>
      </c>
      <c r="U117" s="185"/>
      <c r="V117" s="209">
        <f>IF(C117="",NA(),IF(OR(C117="Smelter not listed",C117="Smelter not yet identified"),MATCH($B117&amp;$D117,'Smelter Look-up'!$J:$J,0),MATCH($B117&amp;$C117,'Smelter Look-up'!$J:$J,0)))</f>
        <v>488</v>
      </c>
      <c r="X117" s="210">
        <f t="shared" si="15"/>
        <v>0</v>
      </c>
      <c r="AB117" s="211" t="str">
        <f t="shared" si="16"/>
        <v>TinLuna Smelter, Ltd.</v>
      </c>
    </row>
    <row r="118" spans="1:28" s="210" customFormat="1" ht="63.75">
      <c r="A118" s="165" t="s">
        <v>13349</v>
      </c>
      <c r="B118" s="166" t="s">
        <v>1088</v>
      </c>
      <c r="C118" s="170" t="s">
        <v>13335</v>
      </c>
      <c r="D118" s="213"/>
      <c r="E118" s="166" t="s">
        <v>1063</v>
      </c>
      <c r="F118" s="166" t="s">
        <v>13349</v>
      </c>
      <c r="G118" s="166" t="s">
        <v>12764</v>
      </c>
      <c r="H118" s="167">
        <v>0</v>
      </c>
      <c r="I118" s="168" t="s">
        <v>14557</v>
      </c>
      <c r="J118" s="168" t="s">
        <v>12398</v>
      </c>
      <c r="K118" s="207"/>
      <c r="L118" s="207"/>
      <c r="M118" s="207"/>
      <c r="N118" s="207"/>
      <c r="O118" s="207"/>
      <c r="P118" s="169" t="s">
        <v>474</v>
      </c>
      <c r="Q118" s="208"/>
      <c r="R118" s="166" t="str">
        <f ca="1">IF(ISERROR($V118),"",OFFSET('Smelter Look-up'!$C$4,$V118-4,0)&amp;"")</f>
        <v>PT Mitra Sukses Globalindo</v>
      </c>
      <c r="S118" s="165" t="str">
        <f t="shared" ca="1" si="14"/>
        <v>ID</v>
      </c>
      <c r="T118" s="165" t="str">
        <f ca="1">IF(B118="","",IF(ISERROR(MATCH($J118,SorP!$B$1:$B$6261,0)),"",INDIRECT("'SorP'!$A$"&amp;MATCH($S118&amp;$J118,SorP!C:C,0))))</f>
        <v>ID-BB</v>
      </c>
      <c r="U118" s="185"/>
      <c r="V118" s="209">
        <f>IF(C118="",NA(),IF(OR(C118="Smelter not listed",C118="Smelter not yet identified"),MATCH($B118&amp;$D118,'Smelter Look-up'!$J:$J,0),MATCH($B118&amp;$C118,'Smelter Look-up'!$J:$J,0)))</f>
        <v>525</v>
      </c>
      <c r="X118" s="210">
        <f t="shared" si="15"/>
        <v>0</v>
      </c>
      <c r="AB118" s="211" t="str">
        <f t="shared" si="16"/>
        <v>TinPT Mitra Sukses Globalindo</v>
      </c>
    </row>
    <row r="119" spans="1:28" s="210" customFormat="1" ht="38.25">
      <c r="A119" s="165" t="s">
        <v>14529</v>
      </c>
      <c r="B119" s="166" t="s">
        <v>1088</v>
      </c>
      <c r="C119" s="170" t="s">
        <v>14528</v>
      </c>
      <c r="D119" s="213"/>
      <c r="E119" s="166" t="s">
        <v>1060</v>
      </c>
      <c r="F119" s="166" t="s">
        <v>14529</v>
      </c>
      <c r="G119" s="166" t="s">
        <v>12764</v>
      </c>
      <c r="H119" s="167">
        <v>0</v>
      </c>
      <c r="I119" s="168" t="s">
        <v>15241</v>
      </c>
      <c r="J119" s="168" t="s">
        <v>3527</v>
      </c>
      <c r="K119" s="207"/>
      <c r="L119" s="207"/>
      <c r="M119" s="207"/>
      <c r="N119" s="207" t="s">
        <v>15891</v>
      </c>
      <c r="O119" s="207" t="s">
        <v>15891</v>
      </c>
      <c r="P119" s="169" t="s">
        <v>475</v>
      </c>
      <c r="Q119" s="208"/>
      <c r="R119" s="166" t="str">
        <f ca="1">IF(ISERROR($V119),"",OFFSET('Smelter Look-up'!$C$4,$V119-4,0)&amp;"")</f>
        <v>CRM Synergies EMEA, S.L.U.</v>
      </c>
      <c r="S119" s="165" t="str">
        <f t="shared" ca="1" si="14"/>
        <v>ES</v>
      </c>
      <c r="T119" s="165" t="str">
        <f ca="1">IF(B119="","",IF(ISERROR(MATCH($J119,SorP!$B$1:$B$6261,0)),"",INDIRECT("'SorP'!$A$"&amp;MATCH($S119&amp;$J119,SorP!C:C,0))))</f>
        <v>ES-TO</v>
      </c>
      <c r="U119" s="185"/>
      <c r="V119" s="209">
        <f>IF(C119="",NA(),IF(OR(C119="Smelter not listed",C119="Smelter not yet identified"),MATCH($B119&amp;$D119,'Smelter Look-up'!$J:$J,0),MATCH($B119&amp;$C119,'Smelter Look-up'!$J:$J,0)))</f>
        <v>441</v>
      </c>
      <c r="X119" s="210">
        <f t="shared" si="15"/>
        <v>0</v>
      </c>
      <c r="AB119" s="211" t="str">
        <f t="shared" si="16"/>
        <v>TinCRM Synergies</v>
      </c>
    </row>
    <row r="120" spans="1:28" s="210" customFormat="1" ht="102">
      <c r="A120" s="165" t="s">
        <v>15187</v>
      </c>
      <c r="B120" s="166" t="s">
        <v>1088</v>
      </c>
      <c r="C120" s="170" t="s">
        <v>15186</v>
      </c>
      <c r="D120" s="213"/>
      <c r="E120" s="166" t="s">
        <v>1073</v>
      </c>
      <c r="F120" s="166" t="s">
        <v>15187</v>
      </c>
      <c r="G120" s="166" t="s">
        <v>12764</v>
      </c>
      <c r="H120" s="167">
        <v>0</v>
      </c>
      <c r="I120" s="168" t="s">
        <v>15197</v>
      </c>
      <c r="J120" s="168" t="s">
        <v>8327</v>
      </c>
      <c r="K120" s="207"/>
      <c r="L120" s="207"/>
      <c r="M120" s="207"/>
      <c r="N120" s="207"/>
      <c r="O120" s="207"/>
      <c r="P120" s="169" t="s">
        <v>474</v>
      </c>
      <c r="Q120" s="208"/>
      <c r="R120" s="166" t="str">
        <f ca="1">IF(ISERROR($V120),"",OFFSET('Smelter Look-up'!$C$4,$V120-4,0)&amp;"")</f>
        <v>Malaysia Smelting Corporation Berhad (Port Klang)</v>
      </c>
      <c r="S120" s="165" t="str">
        <f t="shared" ca="1" si="14"/>
        <v>MY</v>
      </c>
      <c r="T120" s="165" t="str">
        <f ca="1">IF(B120="","",IF(ISERROR(MATCH($J120,SorP!$B$1:$B$6261,0)),"",INDIRECT("'SorP'!$A$"&amp;MATCH($S120&amp;$J120,SorP!C:C,0))))</f>
        <v>MY-10</v>
      </c>
      <c r="U120" s="185"/>
      <c r="V120" s="209">
        <f>IF(C120="",NA(),IF(OR(C120="Smelter not listed",C120="Smelter not yet identified"),MATCH($B120&amp;$D120,'Smelter Look-up'!$J:$J,0),MATCH($B120&amp;$C120,'Smelter Look-up'!$J:$J,0)))</f>
        <v>491</v>
      </c>
      <c r="X120" s="210">
        <f t="shared" si="15"/>
        <v>0</v>
      </c>
      <c r="AB120" s="211" t="str">
        <f t="shared" si="16"/>
        <v>TinMalaysia Smelting Corporation Berhad (Port Klang)</v>
      </c>
    </row>
    <row r="121" spans="1:28" s="210" customFormat="1" ht="38.25">
      <c r="A121" s="165" t="s">
        <v>757</v>
      </c>
      <c r="B121" s="166" t="s">
        <v>1090</v>
      </c>
      <c r="C121" s="170" t="s">
        <v>13296</v>
      </c>
      <c r="D121" s="213"/>
      <c r="E121" s="166" t="s">
        <v>1066</v>
      </c>
      <c r="F121" s="166" t="s">
        <v>757</v>
      </c>
      <c r="G121" s="166" t="s">
        <v>12764</v>
      </c>
      <c r="H121" s="167">
        <v>0</v>
      </c>
      <c r="I121" s="168" t="s">
        <v>2042</v>
      </c>
      <c r="J121" s="168" t="s">
        <v>2043</v>
      </c>
      <c r="K121" s="207"/>
      <c r="L121" s="207"/>
      <c r="M121" s="207"/>
      <c r="N121" s="207"/>
      <c r="O121" s="207"/>
      <c r="P121" s="169" t="s">
        <v>474</v>
      </c>
      <c r="Q121" s="208"/>
      <c r="R121" s="166" t="str">
        <f ca="1">IF(ISERROR($V121),"",OFFSET('Smelter Look-up'!$C$4,$V121-4,0)&amp;"")</f>
        <v>A.L.M.T. Corp.</v>
      </c>
      <c r="S121" s="165" t="str">
        <f t="shared" ca="1" si="14"/>
        <v>JP</v>
      </c>
      <c r="T121" s="165" t="str">
        <f ca="1">IF(B121="","",IF(ISERROR(MATCH($J121,SorP!$B$1:$B$6261,0)),"",INDIRECT("'SorP'!$A$"&amp;MATCH($S121&amp;$J121,SorP!C:C,0))))</f>
        <v>JP-16</v>
      </c>
      <c r="U121" s="185"/>
      <c r="V121" s="209">
        <f>IF(C121="",NA(),IF(OR(C121="Smelter not listed",C121="Smelter not yet identified"),MATCH($B121&amp;$D121,'Smelter Look-up'!$J:$J,0),MATCH($B121&amp;$C121,'Smelter Look-up'!$J:$J,0)))</f>
        <v>574</v>
      </c>
      <c r="X121" s="210">
        <f t="shared" si="15"/>
        <v>0</v>
      </c>
      <c r="AB121" s="211" t="str">
        <f t="shared" si="16"/>
        <v>TungstenA.L.M.T. Corp.</v>
      </c>
    </row>
    <row r="122" spans="1:28" s="210" customFormat="1" ht="89.25">
      <c r="A122" s="165" t="s">
        <v>759</v>
      </c>
      <c r="B122" s="166" t="s">
        <v>1090</v>
      </c>
      <c r="C122" s="170" t="s">
        <v>1333</v>
      </c>
      <c r="D122" s="213"/>
      <c r="E122" s="166" t="s">
        <v>1058</v>
      </c>
      <c r="F122" s="166" t="s">
        <v>759</v>
      </c>
      <c r="G122" s="166" t="s">
        <v>12764</v>
      </c>
      <c r="H122" s="167">
        <v>0</v>
      </c>
      <c r="I122" s="168" t="s">
        <v>1737</v>
      </c>
      <c r="J122" s="168" t="s">
        <v>13122</v>
      </c>
      <c r="K122" s="207"/>
      <c r="L122" s="207"/>
      <c r="M122" s="207"/>
      <c r="N122" s="207"/>
      <c r="O122" s="207"/>
      <c r="P122" s="169" t="s">
        <v>474</v>
      </c>
      <c r="Q122" s="208"/>
      <c r="R122" s="166" t="str">
        <f ca="1">IF(ISERROR($V122),"",OFFSET('Smelter Look-up'!$C$4,$V122-4,0)&amp;"")</f>
        <v>Guangdong Xianglu Tungsten Co., Ltd.</v>
      </c>
      <c r="S122" s="165" t="str">
        <f t="shared" ca="1" si="14"/>
        <v>CN</v>
      </c>
      <c r="T122" s="165" t="str">
        <f ca="1">IF(B122="","",IF(ISERROR(MATCH($J122,SorP!$B$1:$B$6261,0)),"",INDIRECT("'SorP'!$A$"&amp;MATCH($S122&amp;$J122,SorP!C:C,0))))</f>
        <v>CN-GD</v>
      </c>
      <c r="U122" s="185"/>
      <c r="V122" s="209">
        <f>IF(C122="",NA(),IF(OR(C122="Smelter not listed",C122="Smelter not yet identified"),MATCH($B122&amp;$D122,'Smelter Look-up'!$J:$J,0),MATCH($B122&amp;$C122,'Smelter Look-up'!$J:$J,0)))</f>
        <v>598</v>
      </c>
      <c r="X122" s="210">
        <f t="shared" si="15"/>
        <v>0</v>
      </c>
      <c r="AB122" s="211" t="str">
        <f t="shared" si="16"/>
        <v>TungstenGuangdong Xianglu Tungsten Co., Ltd.</v>
      </c>
    </row>
    <row r="123" spans="1:28" s="210" customFormat="1" ht="102">
      <c r="A123" s="165" t="s">
        <v>760</v>
      </c>
      <c r="B123" s="166" t="s">
        <v>1090</v>
      </c>
      <c r="C123" s="170" t="s">
        <v>1332</v>
      </c>
      <c r="D123" s="213"/>
      <c r="E123" s="166" t="s">
        <v>1058</v>
      </c>
      <c r="F123" s="166" t="s">
        <v>760</v>
      </c>
      <c r="G123" s="166" t="s">
        <v>12764</v>
      </c>
      <c r="H123" s="167">
        <v>0</v>
      </c>
      <c r="I123" s="168" t="s">
        <v>1692</v>
      </c>
      <c r="J123" s="168" t="s">
        <v>13117</v>
      </c>
      <c r="K123" s="207"/>
      <c r="L123" s="207"/>
      <c r="M123" s="207"/>
      <c r="N123" s="207" t="s">
        <v>15917</v>
      </c>
      <c r="O123" s="207"/>
      <c r="P123" s="169" t="s">
        <v>474</v>
      </c>
      <c r="Q123" s="208"/>
      <c r="R123" s="166" t="str">
        <f ca="1">IF(ISERROR($V123),"",OFFSET('Smelter Look-up'!$C$4,$V123-4,0)&amp;"")</f>
        <v>Chongyi Zhangyuan Tungsten Co., Ltd.</v>
      </c>
      <c r="S123" s="165" t="str">
        <f t="shared" ca="1" si="14"/>
        <v>CN</v>
      </c>
      <c r="T123" s="165" t="str">
        <f ca="1">IF(B123="","",IF(ISERROR(MATCH($J123,SorP!$B$1:$B$6261,0)),"",INDIRECT("'SorP'!$A$"&amp;MATCH($S123&amp;$J123,SorP!C:C,0))))</f>
        <v>CN-JX</v>
      </c>
      <c r="U123" s="185"/>
      <c r="V123" s="209">
        <f>IF(C123="",NA(),IF(OR(C123="Smelter not listed",C123="Smelter not yet identified"),MATCH($B123&amp;$D123,'Smelter Look-up'!$J:$J,0),MATCH($B123&amp;$C123,'Smelter Look-up'!$J:$J,0)))</f>
        <v>588</v>
      </c>
      <c r="X123" s="210">
        <f t="shared" si="15"/>
        <v>0</v>
      </c>
      <c r="AB123" s="211" t="str">
        <f t="shared" si="16"/>
        <v>TungstenChongyi Zhangyuan Tungsten Co., Ltd.</v>
      </c>
    </row>
    <row r="124" spans="1:28" s="210" customFormat="1" ht="76.5">
      <c r="A124" s="165" t="s">
        <v>761</v>
      </c>
      <c r="B124" s="166" t="s">
        <v>1090</v>
      </c>
      <c r="C124" s="170" t="s">
        <v>15918</v>
      </c>
      <c r="D124" s="213"/>
      <c r="E124" s="166" t="s">
        <v>2323</v>
      </c>
      <c r="F124" s="166" t="s">
        <v>761</v>
      </c>
      <c r="G124" s="166" t="s">
        <v>12764</v>
      </c>
      <c r="H124" s="167">
        <v>0</v>
      </c>
      <c r="I124" s="168" t="s">
        <v>1739</v>
      </c>
      <c r="J124" s="168" t="s">
        <v>1660</v>
      </c>
      <c r="K124" s="207"/>
      <c r="L124" s="207"/>
      <c r="M124" s="207"/>
      <c r="N124" s="207"/>
      <c r="O124" s="207"/>
      <c r="P124" s="169" t="s">
        <v>474</v>
      </c>
      <c r="Q124" s="208"/>
      <c r="R124" s="166" t="str">
        <f ca="1">IF(ISERROR($V124),"",OFFSET('Smelter Look-up'!$C$4,$V124-4,0)&amp;"")</f>
        <v/>
      </c>
      <c r="S124" s="165" t="str">
        <f t="shared" ca="1" si="14"/>
        <v>US</v>
      </c>
      <c r="T124" s="165" t="str">
        <f ca="1">IF(B124="","",IF(ISERROR(MATCH($J124,SorP!$B$1:$B$6261,0)),"",INDIRECT("'SorP'!$A$"&amp;MATCH($S124&amp;$J124,SorP!C:C,0))))</f>
        <v>US-PA</v>
      </c>
      <c r="U124" s="185"/>
      <c r="V124" s="209" t="e">
        <f>IF(C124="",NA(),IF(OR(C124="Smelter not listed",C124="Smelter not yet identified"),MATCH($B124&amp;$D124,'Smelter Look-up'!$J:$J,0),MATCH($B124&amp;$C124,'Smelter Look-up'!$J:$J,0)))</f>
        <v>#N/A</v>
      </c>
      <c r="X124" s="210">
        <f t="shared" si="15"/>
        <v>0</v>
      </c>
      <c r="AB124" s="211" t="str">
        <f t="shared" si="16"/>
        <v>TungstenGlobal Tungsten &amp; Powders Corp.</v>
      </c>
    </row>
    <row r="125" spans="1:28" s="210" customFormat="1" ht="76.5">
      <c r="A125" s="165" t="s">
        <v>763</v>
      </c>
      <c r="B125" s="166" t="s">
        <v>1090</v>
      </c>
      <c r="C125" s="170" t="s">
        <v>1335</v>
      </c>
      <c r="D125" s="213"/>
      <c r="E125" s="166" t="s">
        <v>1066</v>
      </c>
      <c r="F125" s="166" t="s">
        <v>763</v>
      </c>
      <c r="G125" s="166" t="s">
        <v>12764</v>
      </c>
      <c r="H125" s="167">
        <v>0</v>
      </c>
      <c r="I125" s="168" t="s">
        <v>2045</v>
      </c>
      <c r="J125" s="168" t="s">
        <v>1527</v>
      </c>
      <c r="K125" s="207"/>
      <c r="L125" s="207"/>
      <c r="M125" s="207"/>
      <c r="N125" s="207"/>
      <c r="O125" s="207"/>
      <c r="P125" s="169" t="s">
        <v>474</v>
      </c>
      <c r="Q125" s="208"/>
      <c r="R125" s="166" t="str">
        <f ca="1">IF(ISERROR($V125),"",OFFSET('Smelter Look-up'!$C$4,$V125-4,0)&amp;"")</f>
        <v>Japan New Metals Co., Ltd.</v>
      </c>
      <c r="S125" s="165" t="str">
        <f t="shared" ca="1" si="14"/>
        <v>JP</v>
      </c>
      <c r="T125" s="165" t="str">
        <f ca="1">IF(B125="","",IF(ISERROR(MATCH($J125,SorP!$B$1:$B$6261,0)),"",INDIRECT("'SorP'!$A$"&amp;MATCH($S125&amp;$J125,SorP!C:C,0))))</f>
        <v>JP-05</v>
      </c>
      <c r="U125" s="185"/>
      <c r="V125" s="209">
        <f>IF(C125="",NA(),IF(OR(C125="Smelter not listed",C125="Smelter not yet identified"),MATCH($B125&amp;$D125,'Smelter Look-up'!$J:$J,0),MATCH($B125&amp;$C125,'Smelter Look-up'!$J:$J,0)))</f>
        <v>608</v>
      </c>
      <c r="X125" s="210">
        <f t="shared" si="15"/>
        <v>0</v>
      </c>
      <c r="AB125" s="211" t="str">
        <f t="shared" si="16"/>
        <v>TungstenJapan New Metals Co., Ltd.</v>
      </c>
    </row>
    <row r="126" spans="1:28" s="210" customFormat="1" ht="51">
      <c r="A126" s="165" t="s">
        <v>764</v>
      </c>
      <c r="B126" s="166" t="s">
        <v>1090</v>
      </c>
      <c r="C126" s="170" t="s">
        <v>140</v>
      </c>
      <c r="D126" s="213"/>
      <c r="E126" s="166" t="s">
        <v>2323</v>
      </c>
      <c r="F126" s="166" t="s">
        <v>764</v>
      </c>
      <c r="G126" s="166" t="s">
        <v>12764</v>
      </c>
      <c r="H126" s="167"/>
      <c r="I126" s="168" t="s">
        <v>1740</v>
      </c>
      <c r="J126" s="168" t="s">
        <v>1676</v>
      </c>
      <c r="K126" s="207"/>
      <c r="L126" s="207"/>
      <c r="M126" s="207"/>
      <c r="N126" s="207"/>
      <c r="O126" s="207"/>
      <c r="P126" s="169" t="s">
        <v>474</v>
      </c>
      <c r="Q126" s="208"/>
      <c r="R126" s="166" t="str">
        <f ca="1">IF(ISERROR($V126),"",OFFSET('Smelter Look-up'!$C$4,$V126-4,0)&amp;"")</f>
        <v>Kennametal Fallon</v>
      </c>
      <c r="S126" s="165" t="str">
        <f t="shared" ca="1" si="14"/>
        <v>US</v>
      </c>
      <c r="T126" s="165" t="str">
        <f ca="1">IF(B126="","",IF(ISERROR(MATCH($J126,SorP!$B$1:$B$6261,0)),"",INDIRECT("'SorP'!$A$"&amp;MATCH($S126&amp;$J126,SorP!C:C,0))))</f>
        <v>US-NV</v>
      </c>
      <c r="U126" s="185"/>
      <c r="V126" s="209">
        <f>IF(C126="",NA(),IF(OR(C126="Smelter not listed",C126="Smelter not yet identified"),MATCH($B126&amp;$D126,'Smelter Look-up'!$J:$J,0),MATCH($B126&amp;$C126,'Smelter Look-up'!$J:$J,0)))</f>
        <v>619</v>
      </c>
      <c r="X126" s="210">
        <f t="shared" si="15"/>
        <v>0</v>
      </c>
      <c r="AB126" s="211" t="str">
        <f t="shared" si="16"/>
        <v>TungstenKennametal Fallon</v>
      </c>
    </row>
    <row r="127" spans="1:28" s="210" customFormat="1" ht="89.25">
      <c r="A127" s="165" t="s">
        <v>765</v>
      </c>
      <c r="B127" s="166" t="s">
        <v>1090</v>
      </c>
      <c r="C127" s="170" t="s">
        <v>2428</v>
      </c>
      <c r="D127" s="213"/>
      <c r="E127" s="166" t="s">
        <v>1052</v>
      </c>
      <c r="F127" s="166" t="s">
        <v>765</v>
      </c>
      <c r="G127" s="166" t="s">
        <v>12764</v>
      </c>
      <c r="H127" s="167">
        <v>0</v>
      </c>
      <c r="I127" s="168" t="s">
        <v>1741</v>
      </c>
      <c r="J127" s="168" t="s">
        <v>2693</v>
      </c>
      <c r="K127" s="207"/>
      <c r="L127" s="207"/>
      <c r="M127" s="207"/>
      <c r="N127" s="207"/>
      <c r="O127" s="207"/>
      <c r="P127" s="169" t="s">
        <v>474</v>
      </c>
      <c r="Q127" s="208"/>
      <c r="R127" s="166" t="str">
        <f ca="1">IF(ISERROR($V127),"",OFFSET('Smelter Look-up'!$C$4,$V127-4,0)&amp;"")</f>
        <v>Wolfram Bergbau und Hutten AG</v>
      </c>
      <c r="S127" s="165" t="str">
        <f t="shared" ca="1" si="14"/>
        <v>AT</v>
      </c>
      <c r="T127" s="165" t="str">
        <f ca="1">IF(B127="","",IF(ISERROR(MATCH($J127,SorP!$B$1:$B$6261,0)),"",INDIRECT("'SorP'!$A$"&amp;MATCH($S127&amp;$J127,SorP!C:C,0))))</f>
        <v>AT-6</v>
      </c>
      <c r="U127" s="185"/>
      <c r="V127" s="209">
        <f>IF(C127="",NA(),IF(OR(C127="Smelter not listed",C127="Smelter not yet identified"),MATCH($B127&amp;$D127,'Smelter Look-up'!$J:$J,0),MATCH($B127&amp;$C127,'Smelter Look-up'!$J:$J,0)))</f>
        <v>646</v>
      </c>
      <c r="X127" s="210">
        <f t="shared" si="15"/>
        <v>0</v>
      </c>
      <c r="AB127" s="211" t="str">
        <f t="shared" si="16"/>
        <v>TungstenWolfram Bergbau und Hutten AG</v>
      </c>
    </row>
    <row r="128" spans="1:28" s="210" customFormat="1" ht="63.75">
      <c r="A128" s="165" t="s">
        <v>766</v>
      </c>
      <c r="B128" s="166" t="s">
        <v>1090</v>
      </c>
      <c r="C128" s="170" t="s">
        <v>1336</v>
      </c>
      <c r="D128" s="213"/>
      <c r="E128" s="166" t="s">
        <v>1058</v>
      </c>
      <c r="F128" s="166" t="s">
        <v>766</v>
      </c>
      <c r="G128" s="166" t="s">
        <v>12764</v>
      </c>
      <c r="H128" s="167">
        <v>0</v>
      </c>
      <c r="I128" s="168" t="s">
        <v>1744</v>
      </c>
      <c r="J128" s="168" t="s">
        <v>13116</v>
      </c>
      <c r="K128" s="207"/>
      <c r="L128" s="207"/>
      <c r="M128" s="207"/>
      <c r="N128" s="207" t="s">
        <v>15917</v>
      </c>
      <c r="O128" s="207"/>
      <c r="P128" s="169" t="s">
        <v>474</v>
      </c>
      <c r="Q128" s="208"/>
      <c r="R128" s="166" t="str">
        <f ca="1">IF(ISERROR($V128),"",OFFSET('Smelter Look-up'!$C$4,$V128-4,0)&amp;"")</f>
        <v>Xiamen Tungsten Co., Ltd.</v>
      </c>
      <c r="S128" s="165" t="str">
        <f t="shared" ca="1" si="14"/>
        <v>CN</v>
      </c>
      <c r="T128" s="165" t="str">
        <f ca="1">IF(B128="","",IF(ISERROR(MATCH($J128,SorP!$B$1:$B$6261,0)),"",INDIRECT("'SorP'!$A$"&amp;MATCH($S128&amp;$J128,SorP!C:C,0))))</f>
        <v>CN-FJ</v>
      </c>
      <c r="U128" s="185"/>
      <c r="V128" s="209">
        <f>IF(C128="",NA(),IF(OR(C128="Smelter not listed",C128="Smelter not yet identified"),MATCH($B128&amp;$D128,'Smelter Look-up'!$J:$J,0),MATCH($B128&amp;$C128,'Smelter Look-up'!$J:$J,0)))</f>
        <v>650</v>
      </c>
      <c r="X128" s="210">
        <f t="shared" si="15"/>
        <v>0</v>
      </c>
      <c r="AB128" s="211" t="str">
        <f t="shared" si="16"/>
        <v>TungstenXiamen Tungsten Co., Ltd.</v>
      </c>
    </row>
    <row r="129" spans="1:28" s="210" customFormat="1" ht="76.5">
      <c r="A129" s="165" t="s">
        <v>136</v>
      </c>
      <c r="B129" s="166" t="s">
        <v>1090</v>
      </c>
      <c r="C129" s="170" t="s">
        <v>145</v>
      </c>
      <c r="D129" s="213"/>
      <c r="E129" s="166" t="s">
        <v>1058</v>
      </c>
      <c r="F129" s="166" t="s">
        <v>136</v>
      </c>
      <c r="G129" s="166" t="s">
        <v>12764</v>
      </c>
      <c r="H129" s="167">
        <v>0</v>
      </c>
      <c r="I129" s="168" t="s">
        <v>1744</v>
      </c>
      <c r="J129" s="168" t="s">
        <v>13116</v>
      </c>
      <c r="K129" s="207"/>
      <c r="L129" s="207"/>
      <c r="M129" s="207"/>
      <c r="N129" s="207" t="s">
        <v>15919</v>
      </c>
      <c r="O129" s="207"/>
      <c r="P129" s="169" t="s">
        <v>474</v>
      </c>
      <c r="Q129" s="208"/>
      <c r="R129" s="166" t="str">
        <f ca="1">IF(ISERROR($V129),"",OFFSET('Smelter Look-up'!$C$4,$V129-4,0)&amp;"")</f>
        <v>Xiamen Tungsten (H.C.) Co., Ltd.</v>
      </c>
      <c r="S129" s="165" t="str">
        <f t="shared" ca="1" si="14"/>
        <v>CN</v>
      </c>
      <c r="T129" s="165" t="str">
        <f ca="1">IF(B129="","",IF(ISERROR(MATCH($J129,SorP!$B$1:$B$6261,0)),"",INDIRECT("'SorP'!$A$"&amp;MATCH($S129&amp;$J129,SorP!C:C,0))))</f>
        <v>CN-FJ</v>
      </c>
      <c r="U129" s="185"/>
      <c r="V129" s="209">
        <f>IF(C129="",NA(),IF(OR(C129="Smelter not listed",C129="Smelter not yet identified"),MATCH($B129&amp;$D129,'Smelter Look-up'!$J:$J,0),MATCH($B129&amp;$C129,'Smelter Look-up'!$J:$J,0)))</f>
        <v>649</v>
      </c>
      <c r="X129" s="210">
        <f t="shared" si="15"/>
        <v>0</v>
      </c>
      <c r="AB129" s="211" t="str">
        <f t="shared" si="16"/>
        <v>TungstenXiamen Tungsten (H.C.) Co., Ltd.</v>
      </c>
    </row>
    <row r="130" spans="1:28" s="210" customFormat="1" ht="76.5">
      <c r="A130" s="165" t="s">
        <v>130</v>
      </c>
      <c r="B130" s="166" t="s">
        <v>1090</v>
      </c>
      <c r="C130" s="170" t="s">
        <v>146</v>
      </c>
      <c r="D130" s="213"/>
      <c r="E130" s="166" t="s">
        <v>1058</v>
      </c>
      <c r="F130" s="166" t="s">
        <v>130</v>
      </c>
      <c r="G130" s="166" t="s">
        <v>12764</v>
      </c>
      <c r="H130" s="167">
        <v>0</v>
      </c>
      <c r="I130" s="168" t="s">
        <v>1747</v>
      </c>
      <c r="J130" s="168" t="s">
        <v>13117</v>
      </c>
      <c r="K130" s="207"/>
      <c r="L130" s="207"/>
      <c r="M130" s="207"/>
      <c r="N130" s="207"/>
      <c r="O130" s="207"/>
      <c r="P130" s="169" t="s">
        <v>474</v>
      </c>
      <c r="Q130" s="208"/>
      <c r="R130" s="166" t="str">
        <f ca="1">IF(ISERROR($V130),"",OFFSET('Smelter Look-up'!$C$4,$V130-4,0)&amp;"")</f>
        <v>Jiangxi Gan Bei Tungsten Co., Ltd.</v>
      </c>
      <c r="S130" s="165" t="str">
        <f t="shared" ca="1" si="14"/>
        <v>CN</v>
      </c>
      <c r="T130" s="165" t="str">
        <f ca="1">IF(B130="","",IF(ISERROR(MATCH($J130,SorP!$B$1:$B$6261,0)),"",INDIRECT("'SorP'!$A$"&amp;MATCH($S130&amp;$J130,SorP!C:C,0))))</f>
        <v>CN-JX</v>
      </c>
      <c r="U130" s="185"/>
      <c r="V130" s="209">
        <f>IF(C130="",NA(),IF(OR(C130="Smelter not listed",C130="Smelter not yet identified"),MATCH($B130&amp;$D130,'Smelter Look-up'!$J:$J,0),MATCH($B130&amp;$C130,'Smelter Look-up'!$J:$J,0)))</f>
        <v>610</v>
      </c>
      <c r="X130" s="210">
        <f t="shared" si="15"/>
        <v>0</v>
      </c>
      <c r="AB130" s="211" t="str">
        <f t="shared" si="16"/>
        <v>TungstenJiangxi Gan Bei Tungsten Co., Ltd.</v>
      </c>
    </row>
    <row r="131" spans="1:28" s="210" customFormat="1" ht="76.5">
      <c r="A131" s="165" t="s">
        <v>1382</v>
      </c>
      <c r="B131" s="166" t="s">
        <v>1090</v>
      </c>
      <c r="C131" s="170" t="s">
        <v>14542</v>
      </c>
      <c r="D131" s="213"/>
      <c r="E131" s="166" t="s">
        <v>852</v>
      </c>
      <c r="F131" s="166" t="s">
        <v>1382</v>
      </c>
      <c r="G131" s="166" t="s">
        <v>12764</v>
      </c>
      <c r="H131" s="167">
        <v>0</v>
      </c>
      <c r="I131" s="168" t="s">
        <v>1749</v>
      </c>
      <c r="J131" s="168" t="s">
        <v>11692</v>
      </c>
      <c r="K131" s="207"/>
      <c r="L131" s="207"/>
      <c r="M131" s="207"/>
      <c r="N131" s="207"/>
      <c r="O131" s="207"/>
      <c r="P131" s="169" t="s">
        <v>474</v>
      </c>
      <c r="Q131" s="208"/>
      <c r="R131" s="166" t="str">
        <f ca="1">IF(ISERROR($V131),"",OFFSET('Smelter Look-up'!$C$4,$V131-4,0)&amp;"")</f>
        <v>Masan High-Tech Materials</v>
      </c>
      <c r="S131" s="165" t="str">
        <f t="shared" ca="1" si="14"/>
        <v>VN</v>
      </c>
      <c r="T131" s="165" t="str">
        <f ca="1">IF(B131="","",IF(ISERROR(MATCH($J131,SorP!$B$1:$B$6261,0)),"",INDIRECT("'SorP'!$A$"&amp;MATCH($S131&amp;$J131,SorP!C:C,0))))</f>
        <v>VN-69</v>
      </c>
      <c r="U131" s="185"/>
      <c r="V131" s="209">
        <f>IF(C131="",NA(),IF(OR(C131="Smelter not listed",C131="Smelter not yet identified"),MATCH($B131&amp;$D131,'Smelter Look-up'!$J:$J,0),MATCH($B131&amp;$C131,'Smelter Look-up'!$J:$J,0)))</f>
        <v>624</v>
      </c>
      <c r="X131" s="210">
        <f t="shared" si="15"/>
        <v>0</v>
      </c>
      <c r="AB131" s="211" t="str">
        <f t="shared" si="16"/>
        <v>TungstenMasan High-Tech Materials</v>
      </c>
    </row>
    <row r="132" spans="1:28" s="210" customFormat="1" ht="38.25">
      <c r="A132" s="165" t="s">
        <v>724</v>
      </c>
      <c r="B132" s="166" t="s">
        <v>1089</v>
      </c>
      <c r="C132" s="170" t="s">
        <v>14866</v>
      </c>
      <c r="D132" s="213"/>
      <c r="E132" s="166" t="s">
        <v>1054</v>
      </c>
      <c r="F132" s="166" t="s">
        <v>724</v>
      </c>
      <c r="G132" s="166" t="s">
        <v>12764</v>
      </c>
      <c r="H132" s="167"/>
      <c r="I132" s="168" t="s">
        <v>1644</v>
      </c>
      <c r="J132" s="168" t="s">
        <v>15920</v>
      </c>
      <c r="K132" s="207"/>
      <c r="L132" s="207"/>
      <c r="M132" s="207"/>
      <c r="N132" s="207"/>
      <c r="O132" s="207"/>
      <c r="P132" s="169" t="s">
        <v>474</v>
      </c>
      <c r="Q132" s="208"/>
      <c r="R132" s="166" t="str">
        <f ca="1">IF(ISERROR($V132),"",OFFSET('Smelter Look-up'!$C$4,$V132-4,0)&amp;"")</f>
        <v>AMG Brasil</v>
      </c>
      <c r="S132" s="165" t="str">
        <f t="shared" ca="1" si="14"/>
        <v>BR</v>
      </c>
      <c r="T132" s="165" t="str">
        <f ca="1">IF(B132="","",IF(ISERROR(MATCH($J132,SorP!$B$1:$B$6261,0)),"",INDIRECT("'SorP'!$A$"&amp;MATCH($S132&amp;$J132,SorP!C:C,0))))</f>
        <v/>
      </c>
      <c r="U132" s="185"/>
      <c r="V132" s="209">
        <f>IF(C132="",NA(),IF(OR(C132="Smelter not listed",C132="Smelter not yet identified"),MATCH($B132&amp;$D132,'Smelter Look-up'!$J:$J,0),MATCH($B132&amp;$C132,'Smelter Look-up'!$J:$J,0)))</f>
        <v>352</v>
      </c>
      <c r="X132" s="210">
        <f t="shared" si="15"/>
        <v>0</v>
      </c>
      <c r="AB132" s="211" t="str">
        <f t="shared" si="16"/>
        <v>TantalumAMG Brasil</v>
      </c>
    </row>
    <row r="133" spans="1:28" s="210" customFormat="1" ht="89.25">
      <c r="A133" s="165" t="s">
        <v>725</v>
      </c>
      <c r="B133" s="166" t="s">
        <v>1089</v>
      </c>
      <c r="C133" s="170" t="s">
        <v>2060</v>
      </c>
      <c r="D133" s="213"/>
      <c r="E133" s="166" t="s">
        <v>1064</v>
      </c>
      <c r="F133" s="166" t="s">
        <v>725</v>
      </c>
      <c r="G133" s="166" t="s">
        <v>12764</v>
      </c>
      <c r="H133" s="167">
        <v>0</v>
      </c>
      <c r="I133" s="168" t="s">
        <v>1645</v>
      </c>
      <c r="J133" s="168" t="s">
        <v>14845</v>
      </c>
      <c r="K133" s="207"/>
      <c r="L133" s="207"/>
      <c r="M133" s="207"/>
      <c r="N133" s="207"/>
      <c r="O133" s="207"/>
      <c r="P133" s="169" t="s">
        <v>474</v>
      </c>
      <c r="Q133" s="208"/>
      <c r="R133" s="166" t="str">
        <f ca="1">IF(ISERROR($V133),"",OFFSET('Smelter Look-up'!$C$4,$V133-4,0)&amp;"")</f>
        <v>Metallurgical Products India Pvt., Ltd.</v>
      </c>
      <c r="S133" s="165" t="str">
        <f t="shared" ref="S133" ca="1" si="17">IF(B133="","",IF(ISERROR(MATCH($E133,CL,0)),"Unknown",INDIRECT("'C'!$A$"&amp;MATCH($E133,CL,0)+1)))</f>
        <v>IN</v>
      </c>
      <c r="T133" s="165" t="str">
        <f ca="1">IF(B133="","",IF(ISERROR(MATCH($J133,SorP!$B$1:$B$6261,0)),"",INDIRECT("'SorP'!$A$"&amp;MATCH($S133&amp;$J133,SorP!C:C,0))))</f>
        <v>IN-MH</v>
      </c>
      <c r="U133" s="185"/>
      <c r="V133" s="209">
        <f>IF(C133="",NA(),IF(OR(C133="Smelter not listed",C133="Smelter not yet identified"),MATCH($B133&amp;$D133,'Smelter Look-up'!$J:$J,0),MATCH($B133&amp;$C133,'Smelter Look-up'!$J:$J,0)))</f>
        <v>381</v>
      </c>
      <c r="X133" s="210">
        <f t="shared" ref="X133" si="18">IF(AND(C133="Smelter not listed",OR(LEN(D133)=0,LEN(E133)=0)),1,0)</f>
        <v>0</v>
      </c>
      <c r="AB133" s="211" t="str">
        <f t="shared" ref="AB133" si="19">B133&amp;C133</f>
        <v>TantalumMetallurgical Products India Pvt., Ltd.</v>
      </c>
    </row>
    <row r="134" spans="1:28" s="210" customFormat="1" ht="63.75">
      <c r="A134" s="165" t="s">
        <v>726</v>
      </c>
      <c r="B134" s="166" t="s">
        <v>1089</v>
      </c>
      <c r="C134" s="170" t="s">
        <v>11981</v>
      </c>
      <c r="D134" s="213"/>
      <c r="E134" s="166" t="s">
        <v>1054</v>
      </c>
      <c r="F134" s="166" t="s">
        <v>726</v>
      </c>
      <c r="G134" s="166" t="s">
        <v>12764</v>
      </c>
      <c r="H134" s="167">
        <v>0</v>
      </c>
      <c r="I134" s="168" t="s">
        <v>1647</v>
      </c>
      <c r="J134" s="168" t="s">
        <v>1648</v>
      </c>
      <c r="K134" s="207"/>
      <c r="L134" s="207"/>
      <c r="M134" s="207"/>
      <c r="N134" s="207" t="s">
        <v>15921</v>
      </c>
      <c r="O134" s="207" t="s">
        <v>15893</v>
      </c>
      <c r="P134" s="169" t="s">
        <v>474</v>
      </c>
      <c r="Q134" s="208"/>
      <c r="R134" s="166" t="str">
        <f ca="1">IF(ISERROR($V134),"",OFFSET('Smelter Look-up'!$C$4,$V134-4,0)&amp;"")</f>
        <v>Mineracao Taboca S.A.</v>
      </c>
      <c r="S134" s="165" t="str">
        <f t="shared" ref="S134:S165" ca="1" si="20">IF(B134="","",IF(ISERROR(MATCH($E134,CL,0)),"Unknown",INDIRECT("'C'!$A$"&amp;MATCH($E134,CL,0)+1)))</f>
        <v>BR</v>
      </c>
      <c r="T134" s="165" t="str">
        <f ca="1">IF(B134="","",IF(ISERROR(MATCH($J134,SorP!$B$1:$B$6261,0)),"",INDIRECT("'SorP'!$A$"&amp;MATCH($S134&amp;$J134,SorP!C:C,0))))</f>
        <v>BR-AM</v>
      </c>
      <c r="U134" s="185"/>
      <c r="V134" s="209">
        <f>IF(C134="",NA(),IF(OR(C134="Smelter not listed",C134="Smelter not yet identified"),MATCH($B134&amp;$D134,'Smelter Look-up'!$J:$J,0),MATCH($B134&amp;$C134,'Smelter Look-up'!$J:$J,0)))</f>
        <v>382</v>
      </c>
      <c r="X134" s="210">
        <f t="shared" ref="X134:X165" si="21">IF(AND(C134="Smelter not listed",OR(LEN(D134)=0,LEN(E134)=0)),1,0)</f>
        <v>0</v>
      </c>
      <c r="AB134" s="211" t="str">
        <f t="shared" ref="AB134:AB165" si="22">B134&amp;C134</f>
        <v>TantalumMineracao Taboca S.A.</v>
      </c>
    </row>
    <row r="135" spans="1:28" s="210" customFormat="1" ht="89.25">
      <c r="A135" s="165" t="s">
        <v>727</v>
      </c>
      <c r="B135" s="166" t="s">
        <v>1089</v>
      </c>
      <c r="C135" s="170" t="s">
        <v>1184</v>
      </c>
      <c r="D135" s="213"/>
      <c r="E135" s="166" t="s">
        <v>1066</v>
      </c>
      <c r="F135" s="166" t="s">
        <v>727</v>
      </c>
      <c r="G135" s="166" t="s">
        <v>12764</v>
      </c>
      <c r="H135" s="167">
        <v>0</v>
      </c>
      <c r="I135" s="168" t="s">
        <v>1649</v>
      </c>
      <c r="J135" s="168" t="s">
        <v>1650</v>
      </c>
      <c r="K135" s="207"/>
      <c r="L135" s="207"/>
      <c r="M135" s="207"/>
      <c r="N135" s="207"/>
      <c r="O135" s="207"/>
      <c r="P135" s="169" t="s">
        <v>474</v>
      </c>
      <c r="Q135" s="208"/>
      <c r="R135" s="166" t="str">
        <f ca="1">IF(ISERROR($V135),"",OFFSET('Smelter Look-up'!$C$4,$V135-4,0)&amp;"")</f>
        <v>Mitsui Kinzoku Company, Limited</v>
      </c>
      <c r="S135" s="165" t="str">
        <f t="shared" ca="1" si="20"/>
        <v>JP</v>
      </c>
      <c r="T135" s="165" t="str">
        <f ca="1">IF(B135="","",IF(ISERROR(MATCH($J135,SorP!$B$1:$B$6261,0)),"",INDIRECT("'SorP'!$A$"&amp;MATCH($S135&amp;$J135,SorP!C:C,0))))</f>
        <v>JP-40</v>
      </c>
      <c r="U135" s="185"/>
      <c r="V135" s="209">
        <f>IF(C135="",NA(),IF(OR(C135="Smelter not listed",C135="Smelter not yet identified"),MATCH($B135&amp;$D135,'Smelter Look-up'!$J:$J,0),MATCH($B135&amp;$C135,'Smelter Look-up'!$J:$J,0)))</f>
        <v>387</v>
      </c>
      <c r="X135" s="210">
        <f t="shared" si="21"/>
        <v>0</v>
      </c>
      <c r="AB135" s="211" t="str">
        <f t="shared" si="22"/>
        <v>TantalumMitsui Mining and Smelting Co., Ltd.</v>
      </c>
    </row>
    <row r="136" spans="1:28" s="210" customFormat="1" ht="51">
      <c r="A136" s="165" t="s">
        <v>728</v>
      </c>
      <c r="B136" s="166" t="s">
        <v>1089</v>
      </c>
      <c r="C136" s="170" t="s">
        <v>2416</v>
      </c>
      <c r="D136" s="213"/>
      <c r="E136" s="166" t="s">
        <v>1061</v>
      </c>
      <c r="F136" s="166" t="s">
        <v>728</v>
      </c>
      <c r="G136" s="166" t="s">
        <v>12764</v>
      </c>
      <c r="H136" s="167">
        <v>0</v>
      </c>
      <c r="I136" s="168" t="s">
        <v>1651</v>
      </c>
      <c r="J136" s="168" t="s">
        <v>1652</v>
      </c>
      <c r="K136" s="207"/>
      <c r="L136" s="207"/>
      <c r="M136" s="207"/>
      <c r="N136" s="207"/>
      <c r="O136" s="207"/>
      <c r="P136" s="169" t="s">
        <v>474</v>
      </c>
      <c r="Q136" s="208"/>
      <c r="R136" s="166" t="str">
        <f ca="1">IF(ISERROR($V136),"",OFFSET('Smelter Look-up'!$C$4,$V136-4,0)&amp;"")</f>
        <v>NPM Silmet AS</v>
      </c>
      <c r="S136" s="165" t="str">
        <f t="shared" ca="1" si="20"/>
        <v>EE</v>
      </c>
      <c r="T136" s="165" t="str">
        <f ca="1">IF(B136="","",IF(ISERROR(MATCH($J136,SorP!$B$1:$B$6261,0)),"",INDIRECT("'SorP'!$A$"&amp;MATCH($S136&amp;$J136,SorP!C:C,0))))</f>
        <v>EE-45</v>
      </c>
      <c r="U136" s="185"/>
      <c r="V136" s="209">
        <f>IF(C136="",NA(),IF(OR(C136="Smelter not listed",C136="Smelter not yet identified"),MATCH($B136&amp;$D136,'Smelter Look-up'!$J:$J,0),MATCH($B136&amp;$C136,'Smelter Look-up'!$J:$J,0)))</f>
        <v>391</v>
      </c>
      <c r="X136" s="210">
        <f t="shared" si="21"/>
        <v>0</v>
      </c>
      <c r="AB136" s="211" t="str">
        <f t="shared" si="22"/>
        <v>TantalumNPM Silmet AS</v>
      </c>
    </row>
    <row r="137" spans="1:28" s="210" customFormat="1" ht="102">
      <c r="A137" s="165" t="s">
        <v>729</v>
      </c>
      <c r="B137" s="166" t="s">
        <v>1089</v>
      </c>
      <c r="C137" s="170" t="s">
        <v>988</v>
      </c>
      <c r="D137" s="213"/>
      <c r="E137" s="166" t="s">
        <v>1058</v>
      </c>
      <c r="F137" s="166" t="s">
        <v>729</v>
      </c>
      <c r="G137" s="166" t="s">
        <v>12764</v>
      </c>
      <c r="H137" s="167">
        <v>0</v>
      </c>
      <c r="I137" s="168" t="s">
        <v>1653</v>
      </c>
      <c r="J137" s="168" t="s">
        <v>13103</v>
      </c>
      <c r="K137" s="207"/>
      <c r="L137" s="207"/>
      <c r="M137" s="207"/>
      <c r="N137" s="207"/>
      <c r="O137" s="207"/>
      <c r="P137" s="169" t="s">
        <v>474</v>
      </c>
      <c r="Q137" s="208"/>
      <c r="R137" s="166" t="str">
        <f ca="1">IF(ISERROR($V137),"",OFFSET('Smelter Look-up'!$C$4,$V137-4,0)&amp;"")</f>
        <v>Ningxia Orient Tantalum Industry Co., Ltd.</v>
      </c>
      <c r="S137" s="165" t="str">
        <f t="shared" ca="1" si="20"/>
        <v>CN</v>
      </c>
      <c r="T137" s="165" t="str">
        <f ca="1">IF(B137="","",IF(ISERROR(MATCH($J137,SorP!$B$1:$B$6261,0)),"",INDIRECT("'SorP'!$A$"&amp;MATCH($S137&amp;$J137,SorP!C:C,0))))</f>
        <v/>
      </c>
      <c r="U137" s="185"/>
      <c r="V137" s="209">
        <f>IF(C137="",NA(),IF(OR(C137="Smelter not listed",C137="Smelter not yet identified"),MATCH($B137&amp;$D137,'Smelter Look-up'!$J:$J,0),MATCH($B137&amp;$C137,'Smelter Look-up'!$J:$J,0)))</f>
        <v>390</v>
      </c>
      <c r="X137" s="210">
        <f t="shared" si="21"/>
        <v>0</v>
      </c>
      <c r="AB137" s="211" t="str">
        <f t="shared" si="22"/>
        <v>TantalumNingxia Orient Tantalum Industry Co., Ltd.</v>
      </c>
    </row>
    <row r="138" spans="1:28" s="210" customFormat="1" ht="127.5">
      <c r="A138" s="165" t="s">
        <v>730</v>
      </c>
      <c r="B138" s="166" t="s">
        <v>1089</v>
      </c>
      <c r="C138" s="170" t="s">
        <v>12783</v>
      </c>
      <c r="D138" s="213"/>
      <c r="E138" s="166" t="s">
        <v>1058</v>
      </c>
      <c r="F138" s="166" t="s">
        <v>730</v>
      </c>
      <c r="G138" s="166" t="s">
        <v>12764</v>
      </c>
      <c r="H138" s="167">
        <v>0</v>
      </c>
      <c r="I138" s="168" t="s">
        <v>1655</v>
      </c>
      <c r="J138" s="168" t="s">
        <v>13121</v>
      </c>
      <c r="K138" s="207"/>
      <c r="L138" s="207"/>
      <c r="M138" s="207"/>
      <c r="N138" s="207"/>
      <c r="O138" s="207"/>
      <c r="P138" s="169" t="s">
        <v>474</v>
      </c>
      <c r="Q138" s="208"/>
      <c r="R138" s="166" t="str">
        <f ca="1">IF(ISERROR($V138),"",OFFSET('Smelter Look-up'!$C$4,$V138-4,0)&amp;"")</f>
        <v>Yanling Jincheng Tantalum &amp; Niobium Co., Ltd.</v>
      </c>
      <c r="S138" s="165" t="str">
        <f t="shared" ca="1" si="20"/>
        <v>CN</v>
      </c>
      <c r="T138" s="165" t="str">
        <f ca="1">IF(B138="","",IF(ISERROR(MATCH($J138,SorP!$B$1:$B$6261,0)),"",INDIRECT("'SorP'!$A$"&amp;MATCH($S138&amp;$J138,SorP!C:C,0))))</f>
        <v>CN-HN</v>
      </c>
      <c r="U138" s="185"/>
      <c r="V138" s="209">
        <f>IF(C138="",NA(),IF(OR(C138="Smelter not listed",C138="Smelter not yet identified"),MATCH($B138&amp;$D138,'Smelter Look-up'!$J:$J,0),MATCH($B138&amp;$C138,'Smelter Look-up'!$J:$J,0)))</f>
        <v>412</v>
      </c>
      <c r="X138" s="210">
        <f t="shared" si="21"/>
        <v>0</v>
      </c>
      <c r="AB138" s="211" t="str">
        <f t="shared" si="22"/>
        <v>TantalumYanling Jincheng Tantalum &amp; Niobium Co., Ltd.</v>
      </c>
    </row>
    <row r="139" spans="1:28" s="210" customFormat="1" ht="63.75">
      <c r="A139" s="165" t="s">
        <v>732</v>
      </c>
      <c r="B139" s="166" t="s">
        <v>1089</v>
      </c>
      <c r="C139" s="170" t="s">
        <v>2335</v>
      </c>
      <c r="D139" s="213"/>
      <c r="E139" s="166" t="s">
        <v>1066</v>
      </c>
      <c r="F139" s="166" t="s">
        <v>732</v>
      </c>
      <c r="G139" s="166" t="s">
        <v>12764</v>
      </c>
      <c r="H139" s="167"/>
      <c r="I139" s="168" t="s">
        <v>1657</v>
      </c>
      <c r="J139" s="168" t="s">
        <v>1506</v>
      </c>
      <c r="K139" s="207"/>
      <c r="L139" s="207"/>
      <c r="M139" s="207"/>
      <c r="N139" s="207"/>
      <c r="O139" s="207"/>
      <c r="P139" s="169" t="s">
        <v>474</v>
      </c>
      <c r="Q139" s="208"/>
      <c r="R139" s="166" t="str">
        <f ca="1">IF(ISERROR($V139),"",OFFSET('Smelter Look-up'!$C$4,$V139-4,0)&amp;"")</f>
        <v>Taki Chemical Co., Ltd.</v>
      </c>
      <c r="S139" s="165" t="str">
        <f t="shared" ca="1" si="20"/>
        <v>JP</v>
      </c>
      <c r="T139" s="165" t="str">
        <f ca="1">IF(B139="","",IF(ISERROR(MATCH($J139,SorP!$B$1:$B$6261,0)),"",INDIRECT("'SorP'!$A$"&amp;MATCH($S139&amp;$J139,SorP!C:C,0))))</f>
        <v>JP-28</v>
      </c>
      <c r="U139" s="185"/>
      <c r="V139" s="209">
        <f>IF(C139="",NA(),IF(OR(C139="Smelter not listed",C139="Smelter not yet identified"),MATCH($B139&amp;$D139,'Smelter Look-up'!$J:$J,0),MATCH($B139&amp;$C139,'Smelter Look-up'!$J:$J,0)))</f>
        <v>401</v>
      </c>
      <c r="X139" s="210">
        <f t="shared" si="21"/>
        <v>0</v>
      </c>
      <c r="AB139" s="211" t="str">
        <f t="shared" si="22"/>
        <v>TantalumTaki Chemical Co., Ltd.</v>
      </c>
    </row>
    <row r="140" spans="1:28" s="210" customFormat="1" ht="38.25">
      <c r="A140" s="165" t="s">
        <v>733</v>
      </c>
      <c r="B140" s="166" t="s">
        <v>1089</v>
      </c>
      <c r="C140" s="170" t="s">
        <v>1658</v>
      </c>
      <c r="D140" s="213"/>
      <c r="E140" s="166" t="s">
        <v>2323</v>
      </c>
      <c r="F140" s="166" t="s">
        <v>733</v>
      </c>
      <c r="G140" s="166" t="s">
        <v>12764</v>
      </c>
      <c r="H140" s="167">
        <v>0</v>
      </c>
      <c r="I140" s="168" t="s">
        <v>1659</v>
      </c>
      <c r="J140" s="168" t="s">
        <v>1660</v>
      </c>
      <c r="K140" s="207"/>
      <c r="L140" s="207"/>
      <c r="M140" s="207"/>
      <c r="N140" s="207"/>
      <c r="O140" s="207"/>
      <c r="P140" s="169" t="s">
        <v>474</v>
      </c>
      <c r="Q140" s="208"/>
      <c r="R140" s="166" t="str">
        <f ca="1">IF(ISERROR($V140),"",OFFSET('Smelter Look-up'!$C$4,$V140-4,0)&amp;"")</f>
        <v>Telex Metals</v>
      </c>
      <c r="S140" s="165" t="str">
        <f t="shared" ca="1" si="20"/>
        <v>US</v>
      </c>
      <c r="T140" s="165" t="str">
        <f ca="1">IF(B140="","",IF(ISERROR(MATCH($J140,SorP!$B$1:$B$6261,0)),"",INDIRECT("'SorP'!$A$"&amp;MATCH($S140&amp;$J140,SorP!C:C,0))))</f>
        <v>US-PA</v>
      </c>
      <c r="U140" s="185"/>
      <c r="V140" s="209">
        <f>IF(C140="",NA(),IF(OR(C140="Smelter not listed",C140="Smelter not yet identified"),MATCH($B140&amp;$D140,'Smelter Look-up'!$J:$J,0),MATCH($B140&amp;$C140,'Smelter Look-up'!$J:$J,0)))</f>
        <v>407</v>
      </c>
      <c r="X140" s="210">
        <f t="shared" si="21"/>
        <v>0</v>
      </c>
      <c r="AB140" s="211" t="str">
        <f t="shared" si="22"/>
        <v>TantalumTelex Metals</v>
      </c>
    </row>
    <row r="141" spans="1:28" s="210" customFormat="1" ht="76.5">
      <c r="A141" s="165" t="s">
        <v>734</v>
      </c>
      <c r="B141" s="166" t="s">
        <v>1089</v>
      </c>
      <c r="C141" s="170" t="s">
        <v>1661</v>
      </c>
      <c r="D141" s="213"/>
      <c r="E141" s="166" t="s">
        <v>1067</v>
      </c>
      <c r="F141" s="166" t="s">
        <v>734</v>
      </c>
      <c r="G141" s="166" t="s">
        <v>12764</v>
      </c>
      <c r="H141" s="167">
        <v>0</v>
      </c>
      <c r="I141" s="168" t="s">
        <v>1552</v>
      </c>
      <c r="J141" s="168" t="s">
        <v>6872</v>
      </c>
      <c r="K141" s="207"/>
      <c r="L141" s="207"/>
      <c r="M141" s="207"/>
      <c r="N141" s="207"/>
      <c r="O141" s="207"/>
      <c r="P141" s="169" t="s">
        <v>474</v>
      </c>
      <c r="Q141" s="208"/>
      <c r="R141" s="166" t="str">
        <f ca="1">IF(ISERROR($V141),"",OFFSET('Smelter Look-up'!$C$4,$V141-4,0)&amp;"")</f>
        <v>Ulba Metallurgical Plant JSC</v>
      </c>
      <c r="S141" s="165" t="str">
        <f t="shared" ca="1" si="20"/>
        <v>KZ</v>
      </c>
      <c r="T141" s="165" t="str">
        <f ca="1">IF(B141="","",IF(ISERROR(MATCH($J141,SorP!$B$1:$B$6261,0)),"",INDIRECT("'SorP'!$A$"&amp;MATCH($S141&amp;$J141,SorP!C:C,0))))</f>
        <v>KZ-35</v>
      </c>
      <c r="U141" s="185"/>
      <c r="V141" s="209">
        <f>IF(C141="",NA(),IF(OR(C141="Smelter not listed",C141="Smelter not yet identified"),MATCH($B141&amp;$D141,'Smelter Look-up'!$J:$J,0),MATCH($B141&amp;$C141,'Smelter Look-up'!$J:$J,0)))</f>
        <v>409</v>
      </c>
      <c r="X141" s="210">
        <f t="shared" si="21"/>
        <v>0</v>
      </c>
      <c r="AB141" s="211" t="str">
        <f t="shared" si="22"/>
        <v>TantalumUlba Metallurgical Plant JSC</v>
      </c>
    </row>
    <row r="142" spans="1:28" s="210" customFormat="1" ht="114.75">
      <c r="A142" s="165" t="s">
        <v>381</v>
      </c>
      <c r="B142" s="166" t="s">
        <v>1089</v>
      </c>
      <c r="C142" s="170" t="s">
        <v>1</v>
      </c>
      <c r="D142" s="213"/>
      <c r="E142" s="166" t="s">
        <v>1058</v>
      </c>
      <c r="F142" s="166" t="s">
        <v>381</v>
      </c>
      <c r="G142" s="166" t="s">
        <v>12764</v>
      </c>
      <c r="H142" s="167">
        <v>0</v>
      </c>
      <c r="I142" s="168" t="s">
        <v>1663</v>
      </c>
      <c r="J142" s="168" t="s">
        <v>13121</v>
      </c>
      <c r="K142" s="207"/>
      <c r="L142" s="207"/>
      <c r="M142" s="207"/>
      <c r="N142" s="207"/>
      <c r="O142" s="207"/>
      <c r="P142" s="169" t="s">
        <v>474</v>
      </c>
      <c r="Q142" s="208"/>
      <c r="R142" s="166" t="str">
        <f ca="1">IF(ISERROR($V142),"",OFFSET('Smelter Look-up'!$C$4,$V142-4,0)&amp;"")</f>
        <v>Hengyang King Xing Lifeng New Materials Co., Ltd.</v>
      </c>
      <c r="S142" s="165" t="str">
        <f t="shared" ca="1" si="20"/>
        <v>CN</v>
      </c>
      <c r="T142" s="165" t="str">
        <f ca="1">IF(B142="","",IF(ISERROR(MATCH($J142,SorP!$B$1:$B$6261,0)),"",INDIRECT("'SorP'!$A$"&amp;MATCH($S142&amp;$J142,SorP!C:C,0))))</f>
        <v>CN-HN</v>
      </c>
      <c r="U142" s="185"/>
      <c r="V142" s="209">
        <f>IF(C142="",NA(),IF(OR(C142="Smelter not listed",C142="Smelter not yet identified"),MATCH($B142&amp;$D142,'Smelter Look-up'!$J:$J,0),MATCH($B142&amp;$C142,'Smelter Look-up'!$J:$J,0)))</f>
        <v>367</v>
      </c>
      <c r="X142" s="210">
        <f t="shared" si="21"/>
        <v>0</v>
      </c>
      <c r="AB142" s="211" t="str">
        <f t="shared" si="22"/>
        <v>TantalumHengyang King Xing Lifeng New Materials Co., Ltd.</v>
      </c>
    </row>
    <row r="143" spans="1:28" s="210" customFormat="1" ht="63.75">
      <c r="A143" s="165" t="s">
        <v>1349</v>
      </c>
      <c r="B143" s="166" t="s">
        <v>1089</v>
      </c>
      <c r="C143" s="170" t="s">
        <v>1348</v>
      </c>
      <c r="D143" s="213"/>
      <c r="E143" s="166" t="s">
        <v>2323</v>
      </c>
      <c r="F143" s="166" t="s">
        <v>1349</v>
      </c>
      <c r="G143" s="166" t="s">
        <v>12764</v>
      </c>
      <c r="H143" s="167">
        <v>0</v>
      </c>
      <c r="I143" s="168" t="s">
        <v>15922</v>
      </c>
      <c r="J143" s="168" t="s">
        <v>1664</v>
      </c>
      <c r="K143" s="207"/>
      <c r="L143" s="207"/>
      <c r="M143" s="207"/>
      <c r="N143" s="207"/>
      <c r="O143" s="207"/>
      <c r="P143" s="169" t="s">
        <v>475</v>
      </c>
      <c r="Q143" s="208"/>
      <c r="R143" s="166" t="str">
        <f ca="1">IF(ISERROR($V143),"",OFFSET('Smelter Look-up'!$C$4,$V143-4,0)&amp;"")</f>
        <v>D Block Metals, LLC</v>
      </c>
      <c r="S143" s="165" t="str">
        <f t="shared" ca="1" si="20"/>
        <v>US</v>
      </c>
      <c r="T143" s="165" t="str">
        <f ca="1">IF(B143="","",IF(ISERROR(MATCH($J143,SorP!$B$1:$B$6261,0)),"",INDIRECT("'SorP'!$A$"&amp;MATCH($S143&amp;$J143,SorP!C:C,0))))</f>
        <v>US-NC</v>
      </c>
      <c r="U143" s="185"/>
      <c r="V143" s="209">
        <f>IF(C143="",NA(),IF(OR(C143="Smelter not listed",C143="Smelter not yet identified"),MATCH($B143&amp;$D143,'Smelter Look-up'!$J:$J,0),MATCH($B143&amp;$C143,'Smelter Look-up'!$J:$J,0)))</f>
        <v>354</v>
      </c>
      <c r="X143" s="210">
        <f t="shared" si="21"/>
        <v>0</v>
      </c>
      <c r="AB143" s="211" t="str">
        <f t="shared" si="22"/>
        <v>TantalumD Block Metals, LLC</v>
      </c>
    </row>
    <row r="144" spans="1:28" s="210" customFormat="1" ht="76.5">
      <c r="A144" s="165" t="s">
        <v>1350</v>
      </c>
      <c r="B144" s="166" t="s">
        <v>1089</v>
      </c>
      <c r="C144" s="170" t="s">
        <v>2075</v>
      </c>
      <c r="D144" s="213"/>
      <c r="E144" s="166" t="s">
        <v>1058</v>
      </c>
      <c r="F144" s="166" t="s">
        <v>1350</v>
      </c>
      <c r="G144" s="166" t="s">
        <v>12764</v>
      </c>
      <c r="H144" s="167">
        <v>0</v>
      </c>
      <c r="I144" s="168" t="s">
        <v>1655</v>
      </c>
      <c r="J144" s="168" t="s">
        <v>13121</v>
      </c>
      <c r="K144" s="207"/>
      <c r="L144" s="207"/>
      <c r="M144" s="207"/>
      <c r="N144" s="207"/>
      <c r="O144" s="207"/>
      <c r="P144" s="169" t="s">
        <v>474</v>
      </c>
      <c r="Q144" s="208"/>
      <c r="R144" s="166" t="str">
        <f ca="1">IF(ISERROR($V144),"",OFFSET('Smelter Look-up'!$C$4,$V144-4,0)&amp;"")</f>
        <v>FIR Metals &amp; Resource Ltd.</v>
      </c>
      <c r="S144" s="165" t="str">
        <f t="shared" ca="1" si="20"/>
        <v>CN</v>
      </c>
      <c r="T144" s="165" t="str">
        <f ca="1">IF(B144="","",IF(ISERROR(MATCH($J144,SorP!$B$1:$B$6261,0)),"",INDIRECT("'SorP'!$A$"&amp;MATCH($S144&amp;$J144,SorP!C:C,0))))</f>
        <v>CN-HN</v>
      </c>
      <c r="U144" s="185"/>
      <c r="V144" s="209">
        <f>IF(C144="",NA(),IF(OR(C144="Smelter not listed",C144="Smelter not yet identified"),MATCH($B144&amp;$D144,'Smelter Look-up'!$J:$J,0),MATCH($B144&amp;$C144,'Smelter Look-up'!$J:$J,0)))</f>
        <v>357</v>
      </c>
      <c r="X144" s="210">
        <f t="shared" si="21"/>
        <v>0</v>
      </c>
      <c r="AB144" s="211" t="str">
        <f t="shared" si="22"/>
        <v>TantalumFIR Metals &amp; Resource Ltd.</v>
      </c>
    </row>
    <row r="145" spans="1:28" s="210" customFormat="1" ht="127.5">
      <c r="A145" s="165" t="s">
        <v>1352</v>
      </c>
      <c r="B145" s="166" t="s">
        <v>1089</v>
      </c>
      <c r="C145" s="170" t="s">
        <v>2076</v>
      </c>
      <c r="D145" s="213"/>
      <c r="E145" s="166" t="s">
        <v>1058</v>
      </c>
      <c r="F145" s="166" t="s">
        <v>1352</v>
      </c>
      <c r="G145" s="166" t="s">
        <v>12764</v>
      </c>
      <c r="H145" s="167">
        <v>0</v>
      </c>
      <c r="I145" s="168" t="s">
        <v>1643</v>
      </c>
      <c r="J145" s="168" t="s">
        <v>13117</v>
      </c>
      <c r="K145" s="207"/>
      <c r="L145" s="207"/>
      <c r="M145" s="207"/>
      <c r="N145" s="207"/>
      <c r="O145" s="207"/>
      <c r="P145" s="169" t="s">
        <v>474</v>
      </c>
      <c r="Q145" s="208"/>
      <c r="R145" s="166" t="str">
        <f ca="1">IF(ISERROR($V145),"",OFFSET('Smelter Look-up'!$C$4,$V145-4,0)&amp;"")</f>
        <v>Jiujiang Zhongao Tantalum &amp; Niobium Co., Ltd.</v>
      </c>
      <c r="S145" s="165" t="str">
        <f t="shared" ca="1" si="20"/>
        <v>CN</v>
      </c>
      <c r="T145" s="165" t="str">
        <f ca="1">IF(B145="","",IF(ISERROR(MATCH($J145,SorP!$B$1:$B$6261,0)),"",INDIRECT("'SorP'!$A$"&amp;MATCH($S145&amp;$J145,SorP!C:C,0))))</f>
        <v>CN-JX</v>
      </c>
      <c r="U145" s="185"/>
      <c r="V145" s="209">
        <f>IF(C145="",NA(),IF(OR(C145="Smelter not listed",C145="Smelter not yet identified"),MATCH($B145&amp;$D145,'Smelter Look-up'!$J:$J,0),MATCH($B145&amp;$C145,'Smelter Look-up'!$J:$J,0)))</f>
        <v>375</v>
      </c>
      <c r="X145" s="210">
        <f t="shared" si="21"/>
        <v>0</v>
      </c>
      <c r="AB145" s="211" t="str">
        <f t="shared" si="22"/>
        <v>TantalumJiujiang Zhongao Tantalum &amp; Niobium Co., Ltd.</v>
      </c>
    </row>
    <row r="146" spans="1:28" s="210" customFormat="1" ht="102">
      <c r="A146" s="165" t="s">
        <v>1351</v>
      </c>
      <c r="B146" s="166" t="s">
        <v>1089</v>
      </c>
      <c r="C146" s="170" t="s">
        <v>2078</v>
      </c>
      <c r="D146" s="213"/>
      <c r="E146" s="166" t="s">
        <v>1058</v>
      </c>
      <c r="F146" s="166" t="s">
        <v>1351</v>
      </c>
      <c r="G146" s="166" t="s">
        <v>12764</v>
      </c>
      <c r="H146" s="167"/>
      <c r="I146" s="168" t="s">
        <v>1665</v>
      </c>
      <c r="J146" s="168" t="s">
        <v>13117</v>
      </c>
      <c r="K146" s="207"/>
      <c r="L146" s="207"/>
      <c r="M146" s="207"/>
      <c r="N146" s="207"/>
      <c r="O146" s="207"/>
      <c r="P146" s="169" t="s">
        <v>474</v>
      </c>
      <c r="Q146" s="208"/>
      <c r="R146" s="166" t="str">
        <f ca="1">IF(ISERROR($V146),"",OFFSET('Smelter Look-up'!$C$4,$V146-4,0)&amp;"")</f>
        <v>Jiangxi Dinghai Tantalum &amp; Niobium Co., Ltd.</v>
      </c>
      <c r="S146" s="165" t="str">
        <f t="shared" ca="1" si="20"/>
        <v>CN</v>
      </c>
      <c r="T146" s="165" t="str">
        <f ca="1">IF(B146="","",IF(ISERROR(MATCH($J146,SorP!$B$1:$B$6261,0)),"",INDIRECT("'SorP'!$A$"&amp;MATCH($S146&amp;$J146,SorP!C:C,0))))</f>
        <v>CN-JX</v>
      </c>
      <c r="U146" s="185"/>
      <c r="V146" s="209">
        <f>IF(C146="",NA(),IF(OR(C146="Smelter not listed",C146="Smelter not yet identified"),MATCH($B146&amp;$D146,'Smelter Look-up'!$J:$J,0),MATCH($B146&amp;$C146,'Smelter Look-up'!$J:$J,0)))</f>
        <v>368</v>
      </c>
      <c r="X146" s="210">
        <f t="shared" si="21"/>
        <v>0</v>
      </c>
      <c r="AB146" s="211" t="str">
        <f t="shared" si="22"/>
        <v>TantalumJiangxi Dinghai Tantalum &amp; Niobium Co., Ltd.</v>
      </c>
    </row>
    <row r="147" spans="1:28" s="210" customFormat="1" ht="51">
      <c r="A147" s="165" t="s">
        <v>1376</v>
      </c>
      <c r="B147" s="166" t="s">
        <v>1089</v>
      </c>
      <c r="C147" s="170" t="s">
        <v>14523</v>
      </c>
      <c r="D147" s="213"/>
      <c r="E147" s="166" t="s">
        <v>1071</v>
      </c>
      <c r="F147" s="166" t="s">
        <v>1376</v>
      </c>
      <c r="G147" s="166" t="s">
        <v>12764</v>
      </c>
      <c r="H147" s="167">
        <v>0</v>
      </c>
      <c r="I147" s="168" t="s">
        <v>1666</v>
      </c>
      <c r="J147" s="168" t="s">
        <v>1667</v>
      </c>
      <c r="K147" s="207"/>
      <c r="L147" s="207"/>
      <c r="M147" s="207"/>
      <c r="N147" s="207"/>
      <c r="O147" s="207"/>
      <c r="P147" s="169" t="s">
        <v>474</v>
      </c>
      <c r="Q147" s="208"/>
      <c r="R147" s="166" t="str">
        <f ca="1">IF(ISERROR($V147),"",OFFSET('Smelter Look-up'!$C$4,$V147-4,0)&amp;"")</f>
        <v>KEMET de Mexico</v>
      </c>
      <c r="S147" s="165" t="str">
        <f t="shared" ca="1" si="20"/>
        <v>MX</v>
      </c>
      <c r="T147" s="165" t="str">
        <f ca="1">IF(B147="","",IF(ISERROR(MATCH($J147,SorP!$B$1:$B$6261,0)),"",INDIRECT("'SorP'!$A$"&amp;MATCH($S147&amp;$J147,SorP!C:C,0))))</f>
        <v>MX-TAM</v>
      </c>
      <c r="U147" s="185"/>
      <c r="V147" s="209">
        <f>IF(C147="",NA(),IF(OR(C147="Smelter not listed",C147="Smelter not yet identified"),MATCH($B147&amp;$D147,'Smelter Look-up'!$J:$J,0),MATCH($B147&amp;$C147,'Smelter Look-up'!$J:$J,0)))</f>
        <v>377</v>
      </c>
      <c r="X147" s="210">
        <f t="shared" si="21"/>
        <v>0</v>
      </c>
      <c r="AB147" s="211" t="str">
        <f t="shared" si="22"/>
        <v>TantalumKEMET de Mexico</v>
      </c>
    </row>
    <row r="148" spans="1:28" s="210" customFormat="1" ht="51">
      <c r="A148" s="165" t="s">
        <v>1368</v>
      </c>
      <c r="B148" s="166" t="s">
        <v>1089</v>
      </c>
      <c r="C148" s="170" t="s">
        <v>14519</v>
      </c>
      <c r="D148" s="213"/>
      <c r="E148" s="166" t="s">
        <v>848</v>
      </c>
      <c r="F148" s="166" t="s">
        <v>1368</v>
      </c>
      <c r="G148" s="166" t="s">
        <v>12764</v>
      </c>
      <c r="H148" s="167">
        <v>0</v>
      </c>
      <c r="I148" s="168" t="s">
        <v>1668</v>
      </c>
      <c r="J148" s="168" t="s">
        <v>1669</v>
      </c>
      <c r="K148" s="207"/>
      <c r="L148" s="207"/>
      <c r="M148" s="207"/>
      <c r="N148" s="207"/>
      <c r="O148" s="207"/>
      <c r="P148" s="169" t="s">
        <v>474</v>
      </c>
      <c r="Q148" s="208"/>
      <c r="R148" s="166" t="str">
        <f ca="1">IF(ISERROR($V148),"",OFFSET('Smelter Look-up'!$C$4,$V148-4,0)&amp;"")</f>
        <v>TANIOBIS Co., Ltd.</v>
      </c>
      <c r="S148" s="165" t="str">
        <f t="shared" ca="1" si="20"/>
        <v>TH</v>
      </c>
      <c r="T148" s="165" t="str">
        <f ca="1">IF(B148="","",IF(ISERROR(MATCH($J148,SorP!$B$1:$B$6261,0)),"",INDIRECT("'SorP'!$A$"&amp;MATCH($S148&amp;$J148,SorP!C:C,0))))</f>
        <v>TH-21</v>
      </c>
      <c r="U148" s="185"/>
      <c r="V148" s="209">
        <f>IF(C148="",NA(),IF(OR(C148="Smelter not listed",C148="Smelter not yet identified"),MATCH($B148&amp;$D148,'Smelter Look-up'!$J:$J,0),MATCH($B148&amp;$C148,'Smelter Look-up'!$J:$J,0)))</f>
        <v>403</v>
      </c>
      <c r="X148" s="210">
        <f t="shared" si="21"/>
        <v>0</v>
      </c>
      <c r="AB148" s="211" t="str">
        <f t="shared" si="22"/>
        <v>TantalumTANIOBIS Co., Ltd.</v>
      </c>
    </row>
    <row r="149" spans="1:28" s="210" customFormat="1" ht="51">
      <c r="A149" s="165" t="s">
        <v>1369</v>
      </c>
      <c r="B149" s="166" t="s">
        <v>1089</v>
      </c>
      <c r="C149" s="170" t="s">
        <v>14522</v>
      </c>
      <c r="D149" s="213"/>
      <c r="E149" s="166" t="s">
        <v>1059</v>
      </c>
      <c r="F149" s="166" t="s">
        <v>1369</v>
      </c>
      <c r="G149" s="166" t="s">
        <v>12764</v>
      </c>
      <c r="H149" s="167">
        <v>0</v>
      </c>
      <c r="I149" s="168" t="s">
        <v>1670</v>
      </c>
      <c r="J149" s="168" t="s">
        <v>4121</v>
      </c>
      <c r="K149" s="207"/>
      <c r="L149" s="207"/>
      <c r="M149" s="207"/>
      <c r="N149" s="207"/>
      <c r="O149" s="207"/>
      <c r="P149" s="169" t="s">
        <v>474</v>
      </c>
      <c r="Q149" s="208"/>
      <c r="R149" s="166" t="str">
        <f ca="1">IF(ISERROR($V149),"",OFFSET('Smelter Look-up'!$C$4,$V149-4,0)&amp;"")</f>
        <v>TANIOBIS GmbH</v>
      </c>
      <c r="S149" s="165" t="str">
        <f t="shared" ca="1" si="20"/>
        <v>DE</v>
      </c>
      <c r="T149" s="165" t="str">
        <f ca="1">IF(B149="","",IF(ISERROR(MATCH($J149,SorP!$B$1:$B$6261,0)),"",INDIRECT("'SorP'!$A$"&amp;MATCH($S149&amp;$J149,SorP!C:C,0))))</f>
        <v>DE-NI</v>
      </c>
      <c r="U149" s="185"/>
      <c r="V149" s="209">
        <f>IF(C149="",NA(),IF(OR(C149="Smelter not listed",C149="Smelter not yet identified"),MATCH($B149&amp;$D149,'Smelter Look-up'!$J:$J,0),MATCH($B149&amp;$C149,'Smelter Look-up'!$J:$J,0)))</f>
        <v>404</v>
      </c>
      <c r="X149" s="210">
        <f t="shared" si="21"/>
        <v>0</v>
      </c>
      <c r="AB149" s="211" t="str">
        <f t="shared" si="22"/>
        <v>TantalumTANIOBIS GmbH</v>
      </c>
    </row>
    <row r="150" spans="1:28" s="210" customFormat="1" ht="63.75">
      <c r="A150" s="165" t="s">
        <v>1371</v>
      </c>
      <c r="B150" s="166" t="s">
        <v>1089</v>
      </c>
      <c r="C150" s="170" t="s">
        <v>14895</v>
      </c>
      <c r="D150" s="213"/>
      <c r="E150" s="166" t="s">
        <v>2323</v>
      </c>
      <c r="F150" s="166" t="s">
        <v>1371</v>
      </c>
      <c r="G150" s="166" t="s">
        <v>12764</v>
      </c>
      <c r="H150" s="167">
        <v>0</v>
      </c>
      <c r="I150" s="168" t="s">
        <v>1672</v>
      </c>
      <c r="J150" s="168" t="s">
        <v>1566</v>
      </c>
      <c r="K150" s="207"/>
      <c r="L150" s="207"/>
      <c r="M150" s="207"/>
      <c r="N150" s="207"/>
      <c r="O150" s="207"/>
      <c r="P150" s="169" t="s">
        <v>474</v>
      </c>
      <c r="Q150" s="208"/>
      <c r="R150" s="166" t="str">
        <f ca="1">IF(ISERROR($V150),"",OFFSET('Smelter Look-up'!$C$4,$V150-4,0)&amp;"")</f>
        <v>Materion Newton Inc.</v>
      </c>
      <c r="S150" s="165" t="str">
        <f t="shared" ca="1" si="20"/>
        <v>US</v>
      </c>
      <c r="T150" s="165" t="str">
        <f ca="1">IF(B150="","",IF(ISERROR(MATCH($J150,SorP!$B$1:$B$6261,0)),"",INDIRECT("'SorP'!$A$"&amp;MATCH($S150&amp;$J150,SorP!C:C,0))))</f>
        <v>US-MA</v>
      </c>
      <c r="U150" s="185"/>
      <c r="V150" s="209">
        <f>IF(C150="",NA(),IF(OR(C150="Smelter not listed",C150="Smelter not yet identified"),MATCH($B150&amp;$D150,'Smelter Look-up'!$J:$J,0),MATCH($B150&amp;$C150,'Smelter Look-up'!$J:$J,0)))</f>
        <v>379</v>
      </c>
      <c r="X150" s="210">
        <f t="shared" si="21"/>
        <v>0</v>
      </c>
      <c r="AB150" s="211" t="str">
        <f t="shared" si="22"/>
        <v>TantalumMaterion Newton Inc.</v>
      </c>
    </row>
    <row r="151" spans="1:28" s="210" customFormat="1" ht="76.5">
      <c r="A151" s="165" t="s">
        <v>1373</v>
      </c>
      <c r="B151" s="166" t="s">
        <v>1089</v>
      </c>
      <c r="C151" s="170" t="s">
        <v>14520</v>
      </c>
      <c r="D151" s="213"/>
      <c r="E151" s="166" t="s">
        <v>1066</v>
      </c>
      <c r="F151" s="166" t="s">
        <v>1373</v>
      </c>
      <c r="G151" s="166" t="s">
        <v>12764</v>
      </c>
      <c r="H151" s="167">
        <v>0</v>
      </c>
      <c r="I151" s="168" t="s">
        <v>15923</v>
      </c>
      <c r="J151" s="168" t="s">
        <v>1673</v>
      </c>
      <c r="K151" s="207"/>
      <c r="L151" s="207"/>
      <c r="M151" s="207"/>
      <c r="N151" s="207"/>
      <c r="O151" s="207"/>
      <c r="P151" s="169" t="s">
        <v>475</v>
      </c>
      <c r="Q151" s="208"/>
      <c r="R151" s="166" t="str">
        <f ca="1">IF(ISERROR($V151),"",OFFSET('Smelter Look-up'!$C$4,$V151-4,0)&amp;"")</f>
        <v>TANIOBIS Japan Co., Ltd.</v>
      </c>
      <c r="S151" s="165" t="str">
        <f t="shared" ca="1" si="20"/>
        <v>JP</v>
      </c>
      <c r="T151" s="165" t="str">
        <f ca="1">IF(B151="","",IF(ISERROR(MATCH($J151,SorP!$B$1:$B$6261,0)),"",INDIRECT("'SorP'!$A$"&amp;MATCH($S151&amp;$J151,SorP!C:C,0))))</f>
        <v>JP-08</v>
      </c>
      <c r="U151" s="185"/>
      <c r="V151" s="209">
        <f>IF(C151="",NA(),IF(OR(C151="Smelter not listed",C151="Smelter not yet identified"),MATCH($B151&amp;$D151,'Smelter Look-up'!$J:$J,0),MATCH($B151&amp;$C151,'Smelter Look-up'!$J:$J,0)))</f>
        <v>405</v>
      </c>
      <c r="X151" s="210">
        <f t="shared" si="21"/>
        <v>0</v>
      </c>
      <c r="AB151" s="211" t="str">
        <f t="shared" si="22"/>
        <v>TantalumTANIOBIS Japan Co., Ltd.</v>
      </c>
    </row>
    <row r="152" spans="1:28" s="210" customFormat="1" ht="76.5">
      <c r="A152" s="165" t="s">
        <v>1374</v>
      </c>
      <c r="B152" s="166" t="s">
        <v>1089</v>
      </c>
      <c r="C152" s="170" t="s">
        <v>14521</v>
      </c>
      <c r="D152" s="213"/>
      <c r="E152" s="166" t="s">
        <v>1059</v>
      </c>
      <c r="F152" s="166" t="s">
        <v>1374</v>
      </c>
      <c r="G152" s="166" t="s">
        <v>12764</v>
      </c>
      <c r="H152" s="167">
        <v>0</v>
      </c>
      <c r="I152" s="168" t="s">
        <v>1671</v>
      </c>
      <c r="J152" s="168" t="s">
        <v>1499</v>
      </c>
      <c r="K152" s="207"/>
      <c r="L152" s="207"/>
      <c r="M152" s="207"/>
      <c r="N152" s="207"/>
      <c r="O152" s="207"/>
      <c r="P152" s="169" t="s">
        <v>475</v>
      </c>
      <c r="Q152" s="208"/>
      <c r="R152" s="166" t="str">
        <f ca="1">IF(ISERROR($V152),"",OFFSET('Smelter Look-up'!$C$4,$V152-4,0)&amp;"")</f>
        <v>TANIOBIS Smelting GmbH &amp; Co. KG</v>
      </c>
      <c r="S152" s="165" t="str">
        <f t="shared" ca="1" si="20"/>
        <v>DE</v>
      </c>
      <c r="T152" s="165" t="str">
        <f ca="1">IF(B152="","",IF(ISERROR(MATCH($J152,SorP!$B$1:$B$6261,0)),"",INDIRECT("'SorP'!$A$"&amp;MATCH($S152&amp;$J152,SorP!C:C,0))))</f>
        <v>DE-BW</v>
      </c>
      <c r="U152" s="185"/>
      <c r="V152" s="209">
        <f>IF(C152="",NA(),IF(OR(C152="Smelter not listed",C152="Smelter not yet identified"),MATCH($B152&amp;$D152,'Smelter Look-up'!$J:$J,0),MATCH($B152&amp;$C152,'Smelter Look-up'!$J:$J,0)))</f>
        <v>406</v>
      </c>
      <c r="X152" s="210">
        <f t="shared" si="21"/>
        <v>0</v>
      </c>
      <c r="AB152" s="211" t="str">
        <f t="shared" si="22"/>
        <v>TantalumTANIOBIS Smelting GmbH &amp; Co. KG</v>
      </c>
    </row>
    <row r="153" spans="1:28" s="210" customFormat="1" ht="89.25">
      <c r="A153" s="165" t="s">
        <v>1366</v>
      </c>
      <c r="B153" s="166" t="s">
        <v>1089</v>
      </c>
      <c r="C153" s="170" t="s">
        <v>1365</v>
      </c>
      <c r="D153" s="213"/>
      <c r="E153" s="166" t="s">
        <v>2323</v>
      </c>
      <c r="F153" s="166" t="s">
        <v>1366</v>
      </c>
      <c r="G153" s="166" t="s">
        <v>12764</v>
      </c>
      <c r="H153" s="167">
        <v>0</v>
      </c>
      <c r="I153" s="168" t="s">
        <v>1674</v>
      </c>
      <c r="J153" s="168" t="s">
        <v>1660</v>
      </c>
      <c r="K153" s="207"/>
      <c r="L153" s="207"/>
      <c r="M153" s="207"/>
      <c r="N153" s="207"/>
      <c r="O153" s="207"/>
      <c r="P153" s="169" t="s">
        <v>474</v>
      </c>
      <c r="Q153" s="208"/>
      <c r="R153" s="166" t="str">
        <f ca="1">IF(ISERROR($V153),"",OFFSET('Smelter Look-up'!$C$4,$V153-4,0)&amp;"")</f>
        <v>Global Advanced Metals Boyertown</v>
      </c>
      <c r="S153" s="165" t="str">
        <f t="shared" ca="1" si="20"/>
        <v>US</v>
      </c>
      <c r="T153" s="165" t="str">
        <f ca="1">IF(B153="","",IF(ISERROR(MATCH($J153,SorP!$B$1:$B$6261,0)),"",INDIRECT("'SorP'!$A$"&amp;MATCH($S153&amp;$J153,SorP!C:C,0))))</f>
        <v>US-PA</v>
      </c>
      <c r="U153" s="185"/>
      <c r="V153" s="209">
        <f>IF(C153="",NA(),IF(OR(C153="Smelter not listed",C153="Smelter not yet identified"),MATCH($B153&amp;$D153,'Smelter Look-up'!$J:$J,0),MATCH($B153&amp;$C153,'Smelter Look-up'!$J:$J,0)))</f>
        <v>359</v>
      </c>
      <c r="X153" s="210">
        <f t="shared" si="21"/>
        <v>0</v>
      </c>
      <c r="AB153" s="211" t="str">
        <f t="shared" si="22"/>
        <v>TantalumGlobal Advanced Metals Boyertown</v>
      </c>
    </row>
    <row r="154" spans="1:28" s="210" customFormat="1" ht="76.5">
      <c r="A154" s="165" t="s">
        <v>1364</v>
      </c>
      <c r="B154" s="166" t="s">
        <v>1089</v>
      </c>
      <c r="C154" s="170" t="s">
        <v>1363</v>
      </c>
      <c r="D154" s="213"/>
      <c r="E154" s="166" t="s">
        <v>1066</v>
      </c>
      <c r="F154" s="166" t="s">
        <v>1364</v>
      </c>
      <c r="G154" s="166" t="s">
        <v>12764</v>
      </c>
      <c r="H154" s="167">
        <v>0</v>
      </c>
      <c r="I154" s="168" t="s">
        <v>1675</v>
      </c>
      <c r="J154" s="168" t="s">
        <v>1509</v>
      </c>
      <c r="K154" s="207"/>
      <c r="L154" s="207"/>
      <c r="M154" s="207"/>
      <c r="N154" s="207"/>
      <c r="O154" s="207"/>
      <c r="P154" s="169" t="s">
        <v>474</v>
      </c>
      <c r="Q154" s="208"/>
      <c r="R154" s="166" t="str">
        <f ca="1">IF(ISERROR($V154),"",OFFSET('Smelter Look-up'!$C$4,$V154-4,0)&amp;"")</f>
        <v>Global Advanced Metals Aizu</v>
      </c>
      <c r="S154" s="165" t="str">
        <f t="shared" ca="1" si="20"/>
        <v>JP</v>
      </c>
      <c r="T154" s="165" t="str">
        <f ca="1">IF(B154="","",IF(ISERROR(MATCH($J154,SorP!$B$1:$B$6261,0)),"",INDIRECT("'SorP'!$A$"&amp;MATCH($S154&amp;$J154,SorP!C:C,0))))</f>
        <v>JP-07</v>
      </c>
      <c r="U154" s="185"/>
      <c r="V154" s="209">
        <f>IF(C154="",NA(),IF(OR(C154="Smelter not listed",C154="Smelter not yet identified"),MATCH($B154&amp;$D154,'Smelter Look-up'!$J:$J,0),MATCH($B154&amp;$C154,'Smelter Look-up'!$J:$J,0)))</f>
        <v>358</v>
      </c>
      <c r="X154" s="210">
        <f t="shared" si="21"/>
        <v>0</v>
      </c>
      <c r="AB154" s="211" t="str">
        <f t="shared" si="22"/>
        <v>TantalumGlobal Advanced Metals Aizu</v>
      </c>
    </row>
    <row r="155" spans="1:28" s="210" customFormat="1" ht="76.5">
      <c r="A155" s="165" t="s">
        <v>1677</v>
      </c>
      <c r="B155" s="166" t="s">
        <v>1089</v>
      </c>
      <c r="C155" s="170" t="s">
        <v>11985</v>
      </c>
      <c r="D155" s="213"/>
      <c r="E155" s="166" t="s">
        <v>1054</v>
      </c>
      <c r="F155" s="166" t="s">
        <v>1677</v>
      </c>
      <c r="G155" s="166" t="s">
        <v>12764</v>
      </c>
      <c r="H155" s="167"/>
      <c r="I155" s="168" t="s">
        <v>1644</v>
      </c>
      <c r="J155" s="168" t="s">
        <v>15920</v>
      </c>
      <c r="K155" s="207"/>
      <c r="L155" s="207"/>
      <c r="M155" s="207"/>
      <c r="N155" s="207"/>
      <c r="O155" s="207"/>
      <c r="P155" s="169" t="s">
        <v>474</v>
      </c>
      <c r="Q155" s="208"/>
      <c r="R155" s="166" t="str">
        <f ca="1">IF(ISERROR($V155),"",OFFSET('Smelter Look-up'!$C$4,$V155-4,0)&amp;"")</f>
        <v>Resind Industria e Comercio Ltda.</v>
      </c>
      <c r="S155" s="165" t="str">
        <f t="shared" ca="1" si="20"/>
        <v>BR</v>
      </c>
      <c r="T155" s="165" t="str">
        <f ca="1">IF(B155="","",IF(ISERROR(MATCH($J155,SorP!$B$1:$B$6261,0)),"",INDIRECT("'SorP'!$A$"&amp;MATCH($S155&amp;$J155,SorP!C:C,0))))</f>
        <v/>
      </c>
      <c r="U155" s="185"/>
      <c r="V155" s="209">
        <f>IF(C155="",NA(),IF(OR(C155="Smelter not listed",C155="Smelter not yet identified"),MATCH($B155&amp;$D155,'Smelter Look-up'!$J:$J,0),MATCH($B155&amp;$C155,'Smelter Look-up'!$J:$J,0)))</f>
        <v>394</v>
      </c>
      <c r="X155" s="210">
        <f t="shared" si="21"/>
        <v>0</v>
      </c>
      <c r="AB155" s="211" t="str">
        <f t="shared" si="22"/>
        <v>TantalumResind Industria e Comercio Ltda.</v>
      </c>
    </row>
    <row r="156" spans="1:28" s="210" customFormat="1" ht="76.5">
      <c r="A156" s="165" t="s">
        <v>2169</v>
      </c>
      <c r="B156" s="166" t="s">
        <v>1089</v>
      </c>
      <c r="C156" s="170" t="s">
        <v>2168</v>
      </c>
      <c r="D156" s="213"/>
      <c r="E156" s="166" t="s">
        <v>1058</v>
      </c>
      <c r="F156" s="166" t="s">
        <v>2169</v>
      </c>
      <c r="G156" s="166" t="s">
        <v>12764</v>
      </c>
      <c r="H156" s="167">
        <v>0</v>
      </c>
      <c r="I156" s="168" t="s">
        <v>1662</v>
      </c>
      <c r="J156" s="168" t="s">
        <v>13117</v>
      </c>
      <c r="K156" s="207"/>
      <c r="L156" s="207"/>
      <c r="M156" s="207"/>
      <c r="N156" s="207"/>
      <c r="O156" s="207"/>
      <c r="P156" s="169" t="s">
        <v>474</v>
      </c>
      <c r="Q156" s="208"/>
      <c r="R156" s="166" t="str">
        <f ca="1">IF(ISERROR($V156),"",OFFSET('Smelter Look-up'!$C$4,$V156-4,0)&amp;"")</f>
        <v>Jiangxi Tuohong New Raw Material</v>
      </c>
      <c r="S156" s="165" t="str">
        <f t="shared" ca="1" si="20"/>
        <v>CN</v>
      </c>
      <c r="T156" s="165" t="str">
        <f ca="1">IF(B156="","",IF(ISERROR(MATCH($J156,SorP!$B$1:$B$6261,0)),"",INDIRECT("'SorP'!$A$"&amp;MATCH($S156&amp;$J156,SorP!C:C,0))))</f>
        <v>CN-JX</v>
      </c>
      <c r="U156" s="185"/>
      <c r="V156" s="209">
        <f>IF(C156="",NA(),IF(OR(C156="Smelter not listed",C156="Smelter not yet identified"),MATCH($B156&amp;$D156,'Smelter Look-up'!$J:$J,0),MATCH($B156&amp;$C156,'Smelter Look-up'!$J:$J,0)))</f>
        <v>371</v>
      </c>
      <c r="X156" s="210">
        <f t="shared" si="21"/>
        <v>0</v>
      </c>
      <c r="AB156" s="211" t="str">
        <f t="shared" si="22"/>
        <v>TantalumJiangxi Tuohong New Raw Material</v>
      </c>
    </row>
    <row r="157" spans="1:28" s="210" customFormat="1" ht="114.75">
      <c r="A157" s="165" t="s">
        <v>15924</v>
      </c>
      <c r="B157" s="166" t="s">
        <v>1089</v>
      </c>
      <c r="C157" s="170" t="s">
        <v>15925</v>
      </c>
      <c r="D157" s="213"/>
      <c r="E157" s="166" t="s">
        <v>1058</v>
      </c>
      <c r="F157" s="166" t="s">
        <v>15924</v>
      </c>
      <c r="G157" s="166" t="s">
        <v>12764</v>
      </c>
      <c r="H157" s="167"/>
      <c r="I157" s="168" t="s">
        <v>15926</v>
      </c>
      <c r="J157" s="168" t="s">
        <v>15927</v>
      </c>
      <c r="K157" s="207"/>
      <c r="L157" s="207"/>
      <c r="M157" s="207"/>
      <c r="N157" s="207"/>
      <c r="O157" s="207"/>
      <c r="P157" s="169" t="s">
        <v>474</v>
      </c>
      <c r="Q157" s="208"/>
      <c r="R157" s="166" t="str">
        <f ca="1">IF(ISERROR($V157),"",OFFSET('Smelter Look-up'!$C$4,$V157-4,0)&amp;"")</f>
        <v/>
      </c>
      <c r="S157" s="165" t="str">
        <f t="shared" ca="1" si="20"/>
        <v>CN</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si="21"/>
        <v>0</v>
      </c>
      <c r="AB157" s="211" t="str">
        <f t="shared" si="22"/>
        <v>TantalumRFH Yancheng Jinye New Material Technology Co., Ltd.</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77FD0E8B-595D-442C-AB7F-9BBF350C3208}"/>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Pletronics, Inc.</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Bruce Clark</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bclark@pletronics.com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425-384-2865</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Bruce Clark</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bclark@pletronics.com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46204</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Tantalum  (*)</v>
      </c>
      <c r="B14" s="86" t="str">
        <f>Declaration!D26</f>
        <v>Yes</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Tantalum  (*)</v>
      </c>
      <c r="B19" s="86" t="str">
        <f>IF($B$14="Yes",Declaration!D32,0)</f>
        <v>Yes</v>
      </c>
      <c r="C19" s="86" t="str">
        <f ca="1">IF(H19=1,J19,I19)</f>
        <v>Complete</v>
      </c>
      <c r="D19" s="94" t="str">
        <f>IF(H19=1,"Click here to answer question 2 for Tantalum","")</f>
        <v/>
      </c>
      <c r="E19" s="19" t="s">
        <v>770</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Tantalum  (*)</v>
      </c>
      <c r="B24" s="86" t="str">
        <f>IF(AND($B$14="Yes",$B$19="Yes"),Declaration!D38,0)</f>
        <v>Yes</v>
      </c>
      <c r="C24" s="86" t="str">
        <f ca="1">IF(H24=1,J24,I24)</f>
        <v>Complete</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Yes</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Unknown</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Tungsten  (*)</v>
      </c>
      <c r="B27" s="86" t="str">
        <f>IF(AND($B$17="Yes",$B$22="Yes"),Declaration!D41,0)</f>
        <v>Yes</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Tantalum  (*)</v>
      </c>
      <c r="B29" s="86" t="str">
        <f>IF(AND($B$14="Yes",$B$19="Yes"),Declaration!D44,0)</f>
        <v>Yes</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Yes</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Yes</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Tungsten  (*)</v>
      </c>
      <c r="B32" s="86" t="str">
        <f>IF(AND($B$17="Yes",$B$22="Yes"),Declaration!D47,0)</f>
        <v>Yes</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Tantalum  (*)</v>
      </c>
      <c r="B34" s="86" t="str">
        <f>IF(AND($B$14="Yes",$B$19="Yes"),Declaration!D50,0)</f>
        <v>No</v>
      </c>
      <c r="C34" s="86" t="str">
        <f ca="1">IF(H34=1,J34,I34)</f>
        <v>Complete</v>
      </c>
      <c r="D34" s="243" t="str">
        <f>IF(H34=1,"Click here to answer question 5 for Tantalum","")</f>
        <v/>
      </c>
      <c r="E34" s="19" t="s">
        <v>1261</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Tungsten  (*)</v>
      </c>
      <c r="B37" s="86" t="str">
        <f>IF(AND($B$17="Yes",$B$22="Yes"),Declaration!D53,0)</f>
        <v>No</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Tantalum  (*)</v>
      </c>
      <c r="B39" s="251" t="str">
        <f>IF(AND($B$14="Yes",$B$19="Yes"),Declaration!D56,0)</f>
        <v>100%</v>
      </c>
      <c r="C39" s="86" t="str">
        <f ca="1">IF(H39=1,J39,I39)</f>
        <v>Complete</v>
      </c>
      <c r="D39" s="244" t="str">
        <f>IF(H39=1,"Click here to answer question 6 for Tantalum","")</f>
        <v/>
      </c>
      <c r="E39" s="19" t="s">
        <v>769</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1"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1" t="str">
        <f>IF(AND($B$16="Yes",$B$21="Yes"),Declaration!D58,0)</f>
        <v>100%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Tungsten  (*)</v>
      </c>
      <c r="B42" s="251" t="str">
        <f>IF(AND($B$17="Yes",$B$22="Yes"),Declaration!D59,0)</f>
        <v>100%</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Tantalum  (*)</v>
      </c>
      <c r="B44" s="86" t="str">
        <f>IF(AND($B$14="Yes",$B$19="Yes"),Declaration!D62,0)</f>
        <v>Yes</v>
      </c>
      <c r="C44" s="86" t="str">
        <f ca="1">IF(H44=1,J44,I44)</f>
        <v>Complete</v>
      </c>
      <c r="D44" s="243" t="str">
        <f>IF(H44=1,"Click here to answer question 7 for Tantalum","")</f>
        <v/>
      </c>
      <c r="E44" s="19" t="s">
        <v>1257</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Tungsten  (*)</v>
      </c>
      <c r="B47" s="86" t="str">
        <f>IF(AND($B$17="Yes",$B$22="Yes"),Declaration!D65,0)</f>
        <v>Yes</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Tantalum  (*)</v>
      </c>
      <c r="B49" s="86" t="str">
        <f>IF(AND($B$14="Yes",$B$19="Yes"),Declaration!D68,0)</f>
        <v>Yes</v>
      </c>
      <c r="C49" s="86" t="str">
        <f ca="1">IF(H49=1,J49,I49)</f>
        <v>Complete</v>
      </c>
      <c r="D49" s="244" t="str">
        <f>IF(H49=1,"Click here to answer question 8 for Tantalum","")</f>
        <v/>
      </c>
      <c r="E49" s="19" t="s">
        <v>770</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Tungsten  (*)</v>
      </c>
      <c r="B52" s="86" t="str">
        <f>IF(AND($B$17="Yes",$B$22="Yes"),Declaration!D71,0)</f>
        <v>Yes</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t="str">
        <f>Declaration!G77</f>
        <v>www.pletronics.com/wp-content/uploads/2023/06/Conflict-Minerals-Policy.pdf</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1</v>
      </c>
      <c r="G65" s="67">
        <f>IF(AND(COUNTIF(SmelterIdetifiedForMetal,"Tantalum")&gt;0,COUNTIF('Smelter List'!AB$5:AB$2504,"Tantalum?*")&gt;0),0,1)</f>
        <v>0</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1</v>
      </c>
      <c r="G66" s="67">
        <f>IF(AND(COUNTIF(SmelterIdetifiedForMetal,"Tin")&gt;0,COUNTIF('Smelter List'!AB$5:AB$2504,"Tin?*")&gt;0),0,1)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1</v>
      </c>
      <c r="G67" s="67">
        <f>IF(AND(COUNTIF(SmelterIdetifiedForMetal,"Gold")&gt;0,COUNTIF('Smelter List'!AB$5:AB$2504,"Gold?*")&gt;0),0,1)</f>
        <v>0</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1</v>
      </c>
      <c r="G68" s="67">
        <f>IF(AND(COUNTIF(SmelterIdetifiedForMetal,"Tungsten")&gt;0,COUNTIF('Smelter List'!AB$5:AB$2504,"Tungsten?*")&gt;0),0,1)</f>
        <v>0</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E20B8C64-3816-465F-B4FA-916F0ACDC591}"/>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EB6130D9-3F75-4991-8005-7B71029CFBE0}"/>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1e5dfa8-382b-426a-ba82-6cf3e61d0d44">
      <Terms xmlns="http://schemas.microsoft.com/office/infopath/2007/PartnerControls"/>
    </lcf76f155ced4ddcb4097134ff3c332f>
    <TaxCatchAll xmlns="ac023b3a-efc2-4482-8947-4bd522a1229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1AFB05BDE7954BA6AB148BA7B61077" ma:contentTypeVersion="13" ma:contentTypeDescription="Create a new document." ma:contentTypeScope="" ma:versionID="1513cb1823955cefff058862988d6196">
  <xsd:schema xmlns:xsd="http://www.w3.org/2001/XMLSchema" xmlns:xs="http://www.w3.org/2001/XMLSchema" xmlns:p="http://schemas.microsoft.com/office/2006/metadata/properties" xmlns:ns2="a1e5dfa8-382b-426a-ba82-6cf3e61d0d44" xmlns:ns3="ac023b3a-efc2-4482-8947-4bd522a1229a" targetNamespace="http://schemas.microsoft.com/office/2006/metadata/properties" ma:root="true" ma:fieldsID="2d38b3a1f02f9bb0753ed9bef2126816" ns2:_="" ns3:_="">
    <xsd:import namespace="a1e5dfa8-382b-426a-ba82-6cf3e61d0d44"/>
    <xsd:import namespace="ac023b3a-efc2-4482-8947-4bd522a1229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e5dfa8-382b-426a-ba82-6cf3e61d0d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34e6d2b-7eec-424e-97ec-e9b48a491d7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023b3a-efc2-4482-8947-4bd522a1229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f272f63-24cc-4b13-a5bc-c26f8eabc60b}" ma:internalName="TaxCatchAll" ma:showField="CatchAllData" ma:web="ac023b3a-efc2-4482-8947-4bd522a122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a1e5dfa8-382b-426a-ba82-6cf3e61d0d44"/>
    <ds:schemaRef ds:uri="ac023b3a-efc2-4482-8947-4bd522a1229a"/>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1CB25DA9-5DCE-4931-B88C-8CDA0D41E8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e5dfa8-382b-426a-ba82-6cf3e61d0d44"/>
    <ds:schemaRef ds:uri="ac023b3a-efc2-4482-8947-4bd522a122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Bruce Clark</cp:lastModifiedBy>
  <cp:lastPrinted>2015-04-21T20:47:43Z</cp:lastPrinted>
  <dcterms:created xsi:type="dcterms:W3CDTF">2010-06-21T21:00:23Z</dcterms:created>
  <dcterms:modified xsi:type="dcterms:W3CDTF">2026-10-02T14:56:13Z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0x010100311AFB05BDE7954BA6AB148BA7B61077</vt:lpwstr>
  </property>
  <property fmtid="{D5CDD505-2E9C-101B-9397-08002B2CF9AE}" pid="4" name="Order">
    <vt:r8>100</vt:r8>
  </property>
</Properties>
</file>